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filterPrivacy="1" updateLinks="never" codeName="Questa_cartella_di_lavoro" defaultThemeVersion="124226"/>
  <xr:revisionPtr revIDLastSave="0" documentId="13_ncr:1_{605821F7-A84F-4CBD-8F0E-940667DCDF3C}" xr6:coauthVersionLast="47" xr6:coauthVersionMax="47" xr10:uidLastSave="{00000000-0000-0000-0000-000000000000}"/>
  <bookViews>
    <workbookView xWindow="-120" yWindow="-120" windowWidth="20730" windowHeight="11160" tabRatio="876" activeTab="1" xr2:uid="{00000000-000D-0000-FFFF-FFFF00000000}"/>
  </bookViews>
  <sheets>
    <sheet name="Menu" sheetId="95" r:id="rId1"/>
    <sheet name="QT-Acquedotto" sheetId="104" r:id="rId2"/>
    <sheet name="QT-Fognatura" sheetId="90" r:id="rId3"/>
    <sheet name="QT-Depurazione" sheetId="91" r:id="rId4"/>
    <sheet name="QT-Altri dati" sheetId="102" r:id="rId5"/>
    <sheet name="Riepilogo RQTI" sheetId="94" r:id="rId6"/>
    <sheet name="TT_Gestori-ATO" sheetId="101" state="hidden" r:id="rId7"/>
  </sheets>
  <definedNames>
    <definedName name="_xlnm._FilterDatabase" localSheetId="6" hidden="1">'TT_Gestori-ATO'!$F$2:$G$2</definedName>
    <definedName name="Z_1E1889AA_9C00_49BF_A07E_295053EABBEF_.wvu.Rows" localSheetId="0" hidden="1">Menu!#REF!</definedName>
    <definedName name="Z_55E02C46_28B2_434E_B40C_06F6710E314E_.wvu.Cols" localSheetId="3" hidden="1">'QT-Depurazione'!#REF!</definedName>
    <definedName name="Z_55E02C46_28B2_434E_B40C_06F6710E314E_.wvu.Cols" localSheetId="2" hidden="1">'QT-Fognatura'!#REF!</definedName>
    <definedName name="Z_55E02C46_28B2_434E_B40C_06F6710E314E_.wvu.PrintArea" localSheetId="1" hidden="1">'QT-Acquedotto'!$A$2:$J$127</definedName>
    <definedName name="Z_55E02C46_28B2_434E_B40C_06F6710E314E_.wvu.PrintArea" localSheetId="4" hidden="1">'QT-Altri dati'!$A$2:$J$38</definedName>
    <definedName name="Z_55E02C46_28B2_434E_B40C_06F6710E314E_.wvu.PrintArea" localSheetId="3" hidden="1">'QT-Depurazione'!$A$2:$J$56</definedName>
    <definedName name="Z_55E02C46_28B2_434E_B40C_06F6710E314E_.wvu.PrintArea" localSheetId="2" hidden="1">'QT-Fognatura'!$A$2:$J$47</definedName>
    <definedName name="Z_55E02C46_28B2_434E_B40C_06F6710E314E_.wvu.PrintTitles" localSheetId="1" hidden="1">'QT-Acquedotto'!$2:$2</definedName>
    <definedName name="Z_55E02C46_28B2_434E_B40C_06F6710E314E_.wvu.PrintTitles" localSheetId="4" hidden="1">'QT-Altri dati'!$2:$2</definedName>
    <definedName name="Z_55E02C46_28B2_434E_B40C_06F6710E314E_.wvu.PrintTitles" localSheetId="3" hidden="1">'QT-Depurazione'!$2:$2</definedName>
    <definedName name="Z_55E02C46_28B2_434E_B40C_06F6710E314E_.wvu.PrintTitles" localSheetId="2" hidden="1">'QT-Fognatura'!$2:$2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91" l="1"/>
  <c r="E40" i="104"/>
  <c r="D40" i="104"/>
  <c r="F4" i="95" l="1"/>
  <c r="I142" i="104" l="1"/>
  <c r="H142" i="104"/>
  <c r="H144" i="104"/>
  <c r="I58" i="102" l="1"/>
  <c r="H58" i="102"/>
  <c r="K136" i="102"/>
  <c r="L136" i="102"/>
  <c r="I137" i="102" l="1"/>
  <c r="L137" i="102" s="1"/>
  <c r="H137" i="102"/>
  <c r="K137" i="102" s="1"/>
  <c r="D136" i="102"/>
  <c r="E136" i="102"/>
  <c r="C7" i="94"/>
  <c r="K145" i="104" l="1"/>
  <c r="D33" i="104"/>
  <c r="D44" i="104" s="1"/>
  <c r="D141" i="104"/>
  <c r="D135" i="104"/>
  <c r="L143" i="104" l="1"/>
  <c r="K143" i="104"/>
  <c r="L145" i="104" l="1"/>
  <c r="L142" i="104"/>
  <c r="K142" i="104"/>
  <c r="H131" i="102" l="1"/>
  <c r="K131" i="102" s="1"/>
  <c r="H55" i="104"/>
  <c r="I132" i="102" l="1"/>
  <c r="L132" i="102" s="1"/>
  <c r="I131" i="102"/>
  <c r="L131" i="102" s="1"/>
  <c r="D40" i="91"/>
  <c r="I140" i="104"/>
  <c r="H140" i="104"/>
  <c r="I139" i="104"/>
  <c r="H139" i="104"/>
  <c r="E141" i="104"/>
  <c r="I137" i="104"/>
  <c r="H137" i="104"/>
  <c r="I136" i="104"/>
  <c r="H136" i="104"/>
  <c r="D138" i="104"/>
  <c r="E138" i="104"/>
  <c r="E135" i="104"/>
  <c r="I134" i="104"/>
  <c r="H134" i="104"/>
  <c r="E133" i="104"/>
  <c r="D133" i="104"/>
  <c r="I131" i="104"/>
  <c r="H131" i="104"/>
  <c r="I130" i="104"/>
  <c r="H130" i="104"/>
  <c r="H132" i="102" l="1"/>
  <c r="K132" i="102" s="1"/>
  <c r="I133" i="102"/>
  <c r="L133" i="102" s="1"/>
  <c r="I134" i="102" l="1"/>
  <c r="L134" i="102" s="1"/>
  <c r="H133" i="102"/>
  <c r="K133" i="102" s="1"/>
  <c r="H134" i="102" l="1"/>
  <c r="K134" i="102" s="1"/>
  <c r="I135" i="102"/>
  <c r="L135" i="102" s="1"/>
  <c r="E44" i="94"/>
  <c r="H135" i="102" l="1"/>
  <c r="K135" i="102" s="1"/>
  <c r="L141" i="104"/>
  <c r="K141" i="104"/>
  <c r="L140" i="104"/>
  <c r="K140" i="104"/>
  <c r="L139" i="104"/>
  <c r="K139" i="104"/>
  <c r="L138" i="104"/>
  <c r="K138" i="104"/>
  <c r="L137" i="104"/>
  <c r="K137" i="104"/>
  <c r="L136" i="104"/>
  <c r="K136" i="104"/>
  <c r="L135" i="104"/>
  <c r="K135" i="104"/>
  <c r="L133" i="104"/>
  <c r="K133" i="104"/>
  <c r="L134" i="104" l="1"/>
  <c r="K134" i="104"/>
  <c r="L132" i="104"/>
  <c r="K132" i="104"/>
  <c r="L131" i="104"/>
  <c r="K131" i="104"/>
  <c r="L130" i="104"/>
  <c r="K130" i="104"/>
  <c r="I88" i="104" l="1"/>
  <c r="H88" i="104"/>
  <c r="F54" i="94" l="1"/>
  <c r="F12" i="94" l="1"/>
  <c r="F44" i="94" l="1"/>
  <c r="F32" i="94"/>
  <c r="F20" i="94"/>
  <c r="F4" i="94"/>
  <c r="E54" i="94"/>
  <c r="E32" i="94"/>
  <c r="E20" i="94"/>
  <c r="E4" i="94"/>
  <c r="C24" i="94" l="1"/>
  <c r="D23" i="94" l="1"/>
  <c r="C26" i="94"/>
  <c r="D21" i="94" s="1"/>
  <c r="C28" i="94"/>
  <c r="C27" i="94"/>
  <c r="D22" i="94" s="1"/>
  <c r="C25" i="94"/>
  <c r="D24" i="94" l="1"/>
  <c r="D25" i="94" l="1"/>
  <c r="D26" i="94"/>
  <c r="D28" i="94"/>
  <c r="D27" i="94"/>
  <c r="F45" i="94"/>
  <c r="E45" i="94"/>
  <c r="C56" i="94"/>
  <c r="C48" i="94"/>
  <c r="C58" i="94" l="1"/>
  <c r="D55" i="94" s="1"/>
  <c r="D56" i="94" s="1"/>
  <c r="D48" i="94"/>
  <c r="C36" i="94"/>
  <c r="C40" i="94" l="1"/>
  <c r="D35" i="94"/>
  <c r="D34" i="94"/>
  <c r="D58" i="94"/>
  <c r="D57" i="94"/>
  <c r="D49" i="94"/>
  <c r="C39" i="94"/>
  <c r="K4" i="90" l="1"/>
  <c r="L4" i="90"/>
  <c r="K5" i="90"/>
  <c r="L5" i="90"/>
  <c r="K6" i="90"/>
  <c r="L6" i="90"/>
  <c r="K12" i="90"/>
  <c r="L12" i="90"/>
  <c r="K13" i="90"/>
  <c r="L13" i="90"/>
  <c r="K18" i="90"/>
  <c r="L18" i="90"/>
  <c r="K19" i="90"/>
  <c r="L19" i="90"/>
  <c r="K20" i="90"/>
  <c r="L20" i="90"/>
  <c r="K37" i="90"/>
  <c r="L37" i="90"/>
  <c r="K38" i="90"/>
  <c r="L38" i="90"/>
  <c r="K46" i="90"/>
  <c r="L46" i="90"/>
  <c r="K47" i="90"/>
  <c r="L47" i="90"/>
  <c r="K10" i="91"/>
  <c r="L10" i="91"/>
  <c r="K13" i="91"/>
  <c r="L13" i="91"/>
  <c r="K14" i="91"/>
  <c r="L14" i="91"/>
  <c r="K19" i="91"/>
  <c r="L19" i="91"/>
  <c r="K20" i="91"/>
  <c r="L20" i="91"/>
  <c r="K21" i="91"/>
  <c r="L21" i="91"/>
  <c r="K24" i="91"/>
  <c r="L24" i="91"/>
  <c r="K26" i="91"/>
  <c r="L26" i="91"/>
  <c r="K27" i="91"/>
  <c r="L27" i="91"/>
  <c r="K28" i="91"/>
  <c r="L28" i="91"/>
  <c r="K29" i="91"/>
  <c r="L29" i="91"/>
  <c r="K34" i="91"/>
  <c r="L34" i="91"/>
  <c r="K35" i="91"/>
  <c r="L35" i="91"/>
  <c r="K40" i="91"/>
  <c r="L40" i="91"/>
  <c r="K43" i="91"/>
  <c r="L43" i="91"/>
  <c r="K46" i="91"/>
  <c r="L46" i="91"/>
  <c r="K47" i="91"/>
  <c r="L47" i="91"/>
  <c r="K49" i="91"/>
  <c r="L49" i="91"/>
  <c r="K52" i="91"/>
  <c r="L52" i="91"/>
  <c r="K57" i="91"/>
  <c r="L57" i="91"/>
  <c r="K58" i="91"/>
  <c r="L58" i="91"/>
  <c r="K59" i="91"/>
  <c r="L59" i="91"/>
  <c r="K60" i="91"/>
  <c r="L60" i="91"/>
  <c r="K63" i="91"/>
  <c r="L63" i="91"/>
  <c r="K64" i="91"/>
  <c r="L64" i="91"/>
  <c r="K65" i="91"/>
  <c r="L65" i="91"/>
  <c r="K69" i="91"/>
  <c r="L69" i="91"/>
  <c r="K76" i="91"/>
  <c r="L76" i="91"/>
  <c r="K77" i="91"/>
  <c r="L77" i="91"/>
  <c r="K78" i="91"/>
  <c r="L78" i="91"/>
  <c r="K80" i="91"/>
  <c r="L80" i="91"/>
  <c r="K81" i="91"/>
  <c r="L81" i="91"/>
  <c r="K84" i="91"/>
  <c r="L84" i="91"/>
  <c r="K85" i="91"/>
  <c r="L85" i="91"/>
  <c r="K88" i="91"/>
  <c r="L88" i="91"/>
  <c r="K4" i="102"/>
  <c r="L4" i="102"/>
  <c r="K10" i="102"/>
  <c r="L10" i="102"/>
  <c r="K11" i="102"/>
  <c r="L11" i="102"/>
  <c r="K12" i="102"/>
  <c r="L12" i="102"/>
  <c r="K13" i="102"/>
  <c r="L13" i="102"/>
  <c r="K16" i="102"/>
  <c r="L16" i="102"/>
  <c r="K17" i="102"/>
  <c r="L17" i="102"/>
  <c r="K21" i="102"/>
  <c r="L21" i="102"/>
  <c r="K23" i="102"/>
  <c r="L23" i="102"/>
  <c r="K36" i="102"/>
  <c r="L36" i="102"/>
  <c r="K37" i="102"/>
  <c r="L37" i="102"/>
  <c r="K38" i="102"/>
  <c r="L38" i="102"/>
  <c r="K39" i="102"/>
  <c r="L39" i="102"/>
  <c r="K41" i="102"/>
  <c r="L41" i="102"/>
  <c r="K42" i="102"/>
  <c r="L42" i="102"/>
  <c r="K43" i="102"/>
  <c r="L43" i="102"/>
  <c r="K46" i="102"/>
  <c r="L46" i="102"/>
  <c r="K48" i="102"/>
  <c r="L48" i="102"/>
  <c r="K49" i="102"/>
  <c r="L49" i="102"/>
  <c r="K50" i="102"/>
  <c r="L50" i="102"/>
  <c r="K53" i="102"/>
  <c r="L53" i="102"/>
  <c r="K54" i="102"/>
  <c r="L54" i="102"/>
  <c r="K55" i="102"/>
  <c r="L55" i="102"/>
  <c r="K60" i="102"/>
  <c r="L60" i="102"/>
  <c r="K62" i="102"/>
  <c r="L62" i="102"/>
  <c r="K63" i="102"/>
  <c r="L63" i="102"/>
  <c r="K64" i="102"/>
  <c r="L64" i="102"/>
  <c r="K65" i="102"/>
  <c r="L65" i="102"/>
  <c r="K66" i="102"/>
  <c r="L66" i="102"/>
  <c r="K72" i="102"/>
  <c r="L72" i="102"/>
  <c r="K73" i="102"/>
  <c r="L73" i="102"/>
  <c r="K74" i="102"/>
  <c r="L74" i="102"/>
  <c r="K76" i="102"/>
  <c r="L76" i="102"/>
  <c r="K77" i="102"/>
  <c r="L77" i="102"/>
  <c r="K78" i="102"/>
  <c r="L78" i="102"/>
  <c r="K79" i="102"/>
  <c r="L79" i="102"/>
  <c r="K80" i="102"/>
  <c r="L80" i="102"/>
  <c r="K86" i="102"/>
  <c r="L86" i="102"/>
  <c r="K92" i="102"/>
  <c r="L92" i="102"/>
  <c r="K95" i="102"/>
  <c r="L95" i="102"/>
  <c r="K98" i="102"/>
  <c r="L98" i="102"/>
  <c r="K99" i="102"/>
  <c r="L99" i="102"/>
  <c r="K100" i="102"/>
  <c r="L100" i="102"/>
  <c r="K101" i="102"/>
  <c r="L101" i="102"/>
  <c r="K103" i="102"/>
  <c r="L103" i="102"/>
  <c r="K104" i="102"/>
  <c r="L104" i="102"/>
  <c r="K105" i="102"/>
  <c r="L105" i="102"/>
  <c r="K106" i="102"/>
  <c r="L106" i="102"/>
  <c r="K107" i="102"/>
  <c r="L107" i="102"/>
  <c r="K109" i="102"/>
  <c r="L109" i="102"/>
  <c r="K110" i="102"/>
  <c r="L110" i="102"/>
  <c r="K111" i="102"/>
  <c r="L111" i="102"/>
  <c r="K114" i="102"/>
  <c r="L114" i="102"/>
  <c r="K116" i="102"/>
  <c r="L116" i="102"/>
  <c r="K117" i="102"/>
  <c r="L117" i="102"/>
  <c r="K118" i="102"/>
  <c r="L118" i="102"/>
  <c r="K119" i="102"/>
  <c r="L119" i="102"/>
  <c r="I122" i="102"/>
  <c r="L122" i="102" s="1"/>
  <c r="H122" i="102"/>
  <c r="K122" i="102" s="1"/>
  <c r="I120" i="102"/>
  <c r="L120" i="102" s="1"/>
  <c r="H120" i="102"/>
  <c r="K120" i="102" s="1"/>
  <c r="I13" i="104"/>
  <c r="L13" i="104" s="1"/>
  <c r="H13" i="104"/>
  <c r="K13" i="104" s="1"/>
  <c r="I12" i="104"/>
  <c r="L12" i="104" s="1"/>
  <c r="H12" i="104"/>
  <c r="K12" i="104" s="1"/>
  <c r="I12" i="91"/>
  <c r="L12" i="91" s="1"/>
  <c r="H12" i="91"/>
  <c r="K12" i="91" s="1"/>
  <c r="I11" i="91"/>
  <c r="L11" i="91" s="1"/>
  <c r="H11" i="91"/>
  <c r="K11" i="91" s="1"/>
  <c r="I9" i="91"/>
  <c r="L9" i="91" s="1"/>
  <c r="H9" i="91"/>
  <c r="K9" i="91" s="1"/>
  <c r="I8" i="91"/>
  <c r="L8" i="91" s="1"/>
  <c r="H8" i="91"/>
  <c r="K8" i="91" s="1"/>
  <c r="I11" i="90"/>
  <c r="L11" i="90" s="1"/>
  <c r="H11" i="90"/>
  <c r="K11" i="90" s="1"/>
  <c r="I96" i="102" l="1"/>
  <c r="L96" i="102" s="1"/>
  <c r="H96" i="102"/>
  <c r="K96" i="102" s="1"/>
  <c r="I93" i="102"/>
  <c r="L93" i="102" s="1"/>
  <c r="H93" i="102"/>
  <c r="K93" i="102" s="1"/>
  <c r="I90" i="102"/>
  <c r="L90" i="102" s="1"/>
  <c r="H90" i="102"/>
  <c r="K90" i="102" s="1"/>
  <c r="I84" i="102"/>
  <c r="L84" i="102" s="1"/>
  <c r="H84" i="102"/>
  <c r="K84" i="102" s="1"/>
  <c r="I81" i="102"/>
  <c r="L81" i="102" s="1"/>
  <c r="H81" i="102"/>
  <c r="K81" i="102" s="1"/>
  <c r="I69" i="102"/>
  <c r="L69" i="102" s="1"/>
  <c r="H69" i="102"/>
  <c r="K69" i="102" s="1"/>
  <c r="E60" i="102"/>
  <c r="I70" i="102" s="1"/>
  <c r="L70" i="102" s="1"/>
  <c r="D60" i="102"/>
  <c r="H68" i="102" s="1"/>
  <c r="K68" i="102" s="1"/>
  <c r="E13" i="102"/>
  <c r="D13" i="102"/>
  <c r="I5" i="102"/>
  <c r="L5" i="102" s="1"/>
  <c r="I6" i="102"/>
  <c r="L6" i="102" s="1"/>
  <c r="I7" i="102"/>
  <c r="L7" i="102" s="1"/>
  <c r="H7" i="102"/>
  <c r="K7" i="102" s="1"/>
  <c r="H6" i="102"/>
  <c r="K6" i="102" s="1"/>
  <c r="H5" i="102"/>
  <c r="K5" i="102" s="1"/>
  <c r="E55" i="102"/>
  <c r="I56" i="102" s="1"/>
  <c r="L56" i="102" s="1"/>
  <c r="D55" i="102"/>
  <c r="H56" i="102" s="1"/>
  <c r="K56" i="102" s="1"/>
  <c r="I51" i="102"/>
  <c r="L51" i="102" s="1"/>
  <c r="H51" i="102"/>
  <c r="K51" i="102" s="1"/>
  <c r="E46" i="102"/>
  <c r="I47" i="102" s="1"/>
  <c r="L47" i="102" s="1"/>
  <c r="D46" i="102"/>
  <c r="H47" i="102" s="1"/>
  <c r="K47" i="102" s="1"/>
  <c r="L3" i="102"/>
  <c r="K3" i="102"/>
  <c r="K4" i="104"/>
  <c r="L4" i="104"/>
  <c r="K5" i="104"/>
  <c r="L5" i="104"/>
  <c r="K6" i="104"/>
  <c r="L6" i="104"/>
  <c r="K7" i="104"/>
  <c r="L7" i="104"/>
  <c r="K14" i="104"/>
  <c r="L14" i="104"/>
  <c r="K15" i="104"/>
  <c r="L15" i="104"/>
  <c r="K24" i="104"/>
  <c r="L24" i="104"/>
  <c r="K25" i="104"/>
  <c r="L25" i="104"/>
  <c r="K26" i="104"/>
  <c r="L26" i="104"/>
  <c r="K29" i="104"/>
  <c r="L29" i="104"/>
  <c r="K33" i="104"/>
  <c r="L33" i="104"/>
  <c r="K35" i="104"/>
  <c r="L35" i="104"/>
  <c r="K36" i="104"/>
  <c r="L36" i="104"/>
  <c r="K37" i="104"/>
  <c r="L37" i="104"/>
  <c r="K43" i="104"/>
  <c r="L43" i="104"/>
  <c r="K46" i="104"/>
  <c r="L46" i="104"/>
  <c r="K47" i="104"/>
  <c r="L47" i="104"/>
  <c r="K52" i="104"/>
  <c r="L52" i="104"/>
  <c r="K53" i="104"/>
  <c r="L53" i="104"/>
  <c r="K54" i="104"/>
  <c r="L54" i="104"/>
  <c r="K55" i="104"/>
  <c r="K56" i="104"/>
  <c r="L56" i="104"/>
  <c r="K57" i="104"/>
  <c r="L57" i="104"/>
  <c r="K58" i="104"/>
  <c r="L58" i="104"/>
  <c r="K61" i="104"/>
  <c r="L61" i="104"/>
  <c r="K65" i="104"/>
  <c r="L65" i="104"/>
  <c r="K66" i="104"/>
  <c r="L66" i="104"/>
  <c r="K71" i="104"/>
  <c r="L71" i="104"/>
  <c r="K72" i="104"/>
  <c r="L72" i="104"/>
  <c r="K75" i="104"/>
  <c r="L75" i="104"/>
  <c r="K76" i="104"/>
  <c r="L76" i="104"/>
  <c r="K77" i="104"/>
  <c r="L77" i="104"/>
  <c r="K78" i="104"/>
  <c r="L78" i="104"/>
  <c r="K79" i="104"/>
  <c r="L79" i="104"/>
  <c r="K80" i="104"/>
  <c r="L80" i="104"/>
  <c r="K81" i="104"/>
  <c r="L81" i="104"/>
  <c r="K84" i="104"/>
  <c r="L84" i="104"/>
  <c r="K92" i="104"/>
  <c r="L92" i="104"/>
  <c r="K93" i="104"/>
  <c r="L93" i="104"/>
  <c r="K94" i="104"/>
  <c r="L94" i="104"/>
  <c r="K95" i="104"/>
  <c r="L95" i="104"/>
  <c r="K96" i="104"/>
  <c r="L96" i="104"/>
  <c r="K100" i="104"/>
  <c r="L100" i="104"/>
  <c r="K103" i="104"/>
  <c r="L103" i="104"/>
  <c r="K104" i="104"/>
  <c r="L104" i="104"/>
  <c r="K105" i="104"/>
  <c r="L105" i="104"/>
  <c r="K114" i="104"/>
  <c r="L114" i="104"/>
  <c r="K119" i="104"/>
  <c r="L119" i="104"/>
  <c r="K120" i="104"/>
  <c r="L120" i="104"/>
  <c r="K122" i="104"/>
  <c r="L122" i="104"/>
  <c r="K123" i="104"/>
  <c r="L123" i="104"/>
  <c r="K124" i="104"/>
  <c r="L124" i="104"/>
  <c r="K125" i="104"/>
  <c r="L125" i="104"/>
  <c r="K127" i="104"/>
  <c r="L127" i="104"/>
  <c r="I9" i="102"/>
  <c r="L9" i="102" s="1"/>
  <c r="H9" i="102"/>
  <c r="K9" i="102" s="1"/>
  <c r="I8" i="102"/>
  <c r="L8" i="102" s="1"/>
  <c r="H8" i="102"/>
  <c r="K8" i="102" s="1"/>
  <c r="E124" i="104"/>
  <c r="D124" i="104"/>
  <c r="E121" i="104"/>
  <c r="F23" i="94" s="1"/>
  <c r="D121" i="104"/>
  <c r="E23" i="94" s="1"/>
  <c r="I118" i="104"/>
  <c r="L118" i="104" s="1"/>
  <c r="H118" i="104"/>
  <c r="K118" i="104" s="1"/>
  <c r="I117" i="104"/>
  <c r="L117" i="104" s="1"/>
  <c r="H117" i="104"/>
  <c r="K117" i="104" s="1"/>
  <c r="I116" i="104"/>
  <c r="L116" i="104" s="1"/>
  <c r="H116" i="104"/>
  <c r="K116" i="104" s="1"/>
  <c r="E115" i="104"/>
  <c r="F22" i="94" s="1"/>
  <c r="D115" i="104"/>
  <c r="E22" i="94" s="1"/>
  <c r="I113" i="104"/>
  <c r="L113" i="104" s="1"/>
  <c r="H113" i="104"/>
  <c r="K113" i="104" s="1"/>
  <c r="I112" i="104"/>
  <c r="L112" i="104" s="1"/>
  <c r="H112" i="104"/>
  <c r="K112" i="104" s="1"/>
  <c r="I111" i="104"/>
  <c r="L111" i="104" s="1"/>
  <c r="H111" i="104"/>
  <c r="K111" i="104" s="1"/>
  <c r="I109" i="104"/>
  <c r="L109" i="104" s="1"/>
  <c r="H109" i="104"/>
  <c r="K109" i="104" s="1"/>
  <c r="I108" i="104"/>
  <c r="L108" i="104" s="1"/>
  <c r="H108" i="104"/>
  <c r="K108" i="104" s="1"/>
  <c r="I107" i="104"/>
  <c r="L107" i="104" s="1"/>
  <c r="H107" i="104"/>
  <c r="K107" i="104" s="1"/>
  <c r="I106" i="104"/>
  <c r="L106" i="104" s="1"/>
  <c r="H106" i="104"/>
  <c r="K106" i="104" s="1"/>
  <c r="I102" i="104"/>
  <c r="L102" i="104" s="1"/>
  <c r="H102" i="104"/>
  <c r="K102" i="104" s="1"/>
  <c r="E100" i="104"/>
  <c r="E101" i="104" s="1"/>
  <c r="F19" i="94" s="1"/>
  <c r="D100" i="104"/>
  <c r="D101" i="104" s="1"/>
  <c r="E19" i="94" s="1"/>
  <c r="I99" i="104"/>
  <c r="L99" i="104" s="1"/>
  <c r="H99" i="104"/>
  <c r="K99" i="104" s="1"/>
  <c r="I98" i="104"/>
  <c r="L98" i="104" s="1"/>
  <c r="H98" i="104"/>
  <c r="K98" i="104" s="1"/>
  <c r="I97" i="104"/>
  <c r="L97" i="104" s="1"/>
  <c r="H97" i="104"/>
  <c r="K97" i="104" s="1"/>
  <c r="I91" i="104"/>
  <c r="L91" i="104" s="1"/>
  <c r="H91" i="104"/>
  <c r="K91" i="104" s="1"/>
  <c r="I90" i="104"/>
  <c r="L90" i="104" s="1"/>
  <c r="H90" i="104"/>
  <c r="K90" i="104" s="1"/>
  <c r="I89" i="104"/>
  <c r="L89" i="104" s="1"/>
  <c r="H89" i="104"/>
  <c r="K89" i="104" s="1"/>
  <c r="L88" i="104"/>
  <c r="K88" i="104"/>
  <c r="I87" i="104"/>
  <c r="L87" i="104" s="1"/>
  <c r="H87" i="104"/>
  <c r="K87" i="104" s="1"/>
  <c r="I86" i="104"/>
  <c r="L86" i="104" s="1"/>
  <c r="H86" i="104"/>
  <c r="K86" i="104" s="1"/>
  <c r="I85" i="104"/>
  <c r="L85" i="104" s="1"/>
  <c r="H85" i="104"/>
  <c r="K85" i="104" s="1"/>
  <c r="I83" i="104"/>
  <c r="L83" i="104" s="1"/>
  <c r="H83" i="104"/>
  <c r="K83" i="104" s="1"/>
  <c r="I82" i="104"/>
  <c r="L82" i="104" s="1"/>
  <c r="H82" i="104"/>
  <c r="K82" i="104" s="1"/>
  <c r="E75" i="104"/>
  <c r="D75" i="104"/>
  <c r="I74" i="104"/>
  <c r="L74" i="104" s="1"/>
  <c r="H74" i="104"/>
  <c r="K74" i="104" s="1"/>
  <c r="I73" i="104"/>
  <c r="L73" i="104" s="1"/>
  <c r="H73" i="104"/>
  <c r="K73" i="104" s="1"/>
  <c r="I69" i="104"/>
  <c r="L69" i="104" s="1"/>
  <c r="H69" i="104"/>
  <c r="K69" i="104" s="1"/>
  <c r="I68" i="104"/>
  <c r="L68" i="104" s="1"/>
  <c r="H68" i="104"/>
  <c r="K68" i="104" s="1"/>
  <c r="I67" i="104"/>
  <c r="L67" i="104" s="1"/>
  <c r="H67" i="104"/>
  <c r="K67" i="104" s="1"/>
  <c r="E66" i="104"/>
  <c r="D66" i="104"/>
  <c r="D127" i="104" s="1"/>
  <c r="I64" i="104"/>
  <c r="L64" i="104" s="1"/>
  <c r="H64" i="104"/>
  <c r="K64" i="104" s="1"/>
  <c r="I63" i="104"/>
  <c r="L63" i="104" s="1"/>
  <c r="H63" i="104"/>
  <c r="K63" i="104" s="1"/>
  <c r="I62" i="104"/>
  <c r="L62" i="104" s="1"/>
  <c r="H62" i="104"/>
  <c r="K62" i="104" s="1"/>
  <c r="I60" i="104"/>
  <c r="L60" i="104" s="1"/>
  <c r="H60" i="104"/>
  <c r="K60" i="104" s="1"/>
  <c r="I59" i="104"/>
  <c r="L59" i="104" s="1"/>
  <c r="H59" i="104"/>
  <c r="K59" i="104" s="1"/>
  <c r="I55" i="104"/>
  <c r="L55" i="104" s="1"/>
  <c r="I51" i="104"/>
  <c r="L51" i="104" s="1"/>
  <c r="H51" i="104"/>
  <c r="K51" i="104" s="1"/>
  <c r="I50" i="104"/>
  <c r="L50" i="104" s="1"/>
  <c r="H50" i="104"/>
  <c r="K50" i="104" s="1"/>
  <c r="I49" i="104"/>
  <c r="L49" i="104" s="1"/>
  <c r="H49" i="104"/>
  <c r="K49" i="104" s="1"/>
  <c r="I48" i="104"/>
  <c r="L48" i="104" s="1"/>
  <c r="H48" i="104"/>
  <c r="K48" i="104" s="1"/>
  <c r="I42" i="104"/>
  <c r="L42" i="104" s="1"/>
  <c r="H42" i="104"/>
  <c r="K42" i="104" s="1"/>
  <c r="I41" i="104"/>
  <c r="L41" i="104" s="1"/>
  <c r="H41" i="104"/>
  <c r="K41" i="104" s="1"/>
  <c r="I144" i="104"/>
  <c r="I39" i="104"/>
  <c r="L39" i="104" s="1"/>
  <c r="H39" i="104"/>
  <c r="K39" i="104" s="1"/>
  <c r="I38" i="104"/>
  <c r="L38" i="104" s="1"/>
  <c r="H38" i="104"/>
  <c r="K38" i="104" s="1"/>
  <c r="E33" i="104"/>
  <c r="E5" i="94"/>
  <c r="I32" i="104"/>
  <c r="L32" i="104" s="1"/>
  <c r="H32" i="104"/>
  <c r="K32" i="104" s="1"/>
  <c r="I31" i="104"/>
  <c r="L31" i="104" s="1"/>
  <c r="H31" i="104"/>
  <c r="K31" i="104" s="1"/>
  <c r="I30" i="104"/>
  <c r="L30" i="104" s="1"/>
  <c r="H30" i="104"/>
  <c r="K30" i="104" s="1"/>
  <c r="I28" i="104"/>
  <c r="L28" i="104" s="1"/>
  <c r="H28" i="104"/>
  <c r="K28" i="104" s="1"/>
  <c r="I27" i="104"/>
  <c r="L27" i="104" s="1"/>
  <c r="H27" i="104"/>
  <c r="K27" i="104" s="1"/>
  <c r="I23" i="104"/>
  <c r="L23" i="104" s="1"/>
  <c r="H23" i="104"/>
  <c r="K23" i="104" s="1"/>
  <c r="E21" i="104"/>
  <c r="I21" i="104" s="1"/>
  <c r="L21" i="104" s="1"/>
  <c r="D21" i="104"/>
  <c r="H21" i="104" s="1"/>
  <c r="K21" i="104" s="1"/>
  <c r="I20" i="104"/>
  <c r="L20" i="104" s="1"/>
  <c r="H20" i="104"/>
  <c r="K20" i="104" s="1"/>
  <c r="I19" i="104"/>
  <c r="L19" i="104" s="1"/>
  <c r="H19" i="104"/>
  <c r="K19" i="104" s="1"/>
  <c r="E18" i="104"/>
  <c r="D18" i="104"/>
  <c r="H18" i="104" s="1"/>
  <c r="K18" i="104" s="1"/>
  <c r="I17" i="104"/>
  <c r="L17" i="104" s="1"/>
  <c r="H17" i="104"/>
  <c r="K17" i="104" s="1"/>
  <c r="I16" i="104"/>
  <c r="L16" i="104" s="1"/>
  <c r="H16" i="104"/>
  <c r="K16" i="104" s="1"/>
  <c r="I11" i="104"/>
  <c r="L11" i="104" s="1"/>
  <c r="H11" i="104"/>
  <c r="K11" i="104" s="1"/>
  <c r="I10" i="104"/>
  <c r="L10" i="104" s="1"/>
  <c r="H10" i="104"/>
  <c r="K10" i="104" s="1"/>
  <c r="I9" i="104"/>
  <c r="L9" i="104" s="1"/>
  <c r="H9" i="104"/>
  <c r="K9" i="104" s="1"/>
  <c r="I8" i="104"/>
  <c r="L8" i="104" s="1"/>
  <c r="H8" i="104"/>
  <c r="K8" i="104" s="1"/>
  <c r="L3" i="104"/>
  <c r="K3" i="104"/>
  <c r="K40" i="104" l="1"/>
  <c r="K144" i="104"/>
  <c r="I40" i="104"/>
  <c r="L40" i="104" s="1"/>
  <c r="L144" i="104"/>
  <c r="E45" i="104"/>
  <c r="F6" i="94" s="1"/>
  <c r="E44" i="104"/>
  <c r="E46" i="104" s="1"/>
  <c r="E47" i="104" s="1"/>
  <c r="H14" i="102"/>
  <c r="K14" i="102" s="1"/>
  <c r="I14" i="102"/>
  <c r="L14" i="102" s="1"/>
  <c r="E22" i="104"/>
  <c r="I22" i="104" s="1"/>
  <c r="L22" i="104" s="1"/>
  <c r="H101" i="104"/>
  <c r="K101" i="104" s="1"/>
  <c r="I101" i="104"/>
  <c r="L101" i="104" s="1"/>
  <c r="I115" i="104"/>
  <c r="L115" i="104" s="1"/>
  <c r="I121" i="104"/>
  <c r="L121" i="104" s="1"/>
  <c r="H115" i="104"/>
  <c r="K115" i="104" s="1"/>
  <c r="H121" i="104"/>
  <c r="K121" i="104" s="1"/>
  <c r="H67" i="102"/>
  <c r="K67" i="102" s="1"/>
  <c r="H70" i="102"/>
  <c r="K70" i="102" s="1"/>
  <c r="I67" i="102"/>
  <c r="L67" i="102" s="1"/>
  <c r="I68" i="102"/>
  <c r="L68" i="102" s="1"/>
  <c r="I20" i="102"/>
  <c r="L20" i="102" s="1"/>
  <c r="H20" i="102"/>
  <c r="K20" i="102" s="1"/>
  <c r="D22" i="104"/>
  <c r="E3" i="94" s="1"/>
  <c r="H126" i="104"/>
  <c r="K126" i="104" s="1"/>
  <c r="H44" i="104"/>
  <c r="K44" i="104" s="1"/>
  <c r="D45" i="104"/>
  <c r="H34" i="104"/>
  <c r="K34" i="104" s="1"/>
  <c r="D70" i="104"/>
  <c r="H70" i="104" s="1"/>
  <c r="K70" i="104" s="1"/>
  <c r="D110" i="104"/>
  <c r="E21" i="94" s="1"/>
  <c r="E24" i="94" s="1"/>
  <c r="I18" i="104"/>
  <c r="L18" i="104" s="1"/>
  <c r="I34" i="104"/>
  <c r="L34" i="104" s="1"/>
  <c r="E70" i="104"/>
  <c r="E127" i="104"/>
  <c r="I126" i="104"/>
  <c r="L126" i="104" s="1"/>
  <c r="E110" i="104"/>
  <c r="F21" i="94" s="1"/>
  <c r="F24" i="94" s="1"/>
  <c r="F5" i="94" l="1"/>
  <c r="F7" i="94" s="1"/>
  <c r="I45" i="104"/>
  <c r="L45" i="104" s="1"/>
  <c r="E6" i="94"/>
  <c r="E7" i="94" s="1"/>
  <c r="D46" i="104"/>
  <c r="D47" i="104" s="1"/>
  <c r="E13" i="94"/>
  <c r="E14" i="94" s="1"/>
  <c r="E15" i="94" s="1"/>
  <c r="F3" i="94"/>
  <c r="F13" i="94"/>
  <c r="F14" i="94" s="1"/>
  <c r="F15" i="94" s="1"/>
  <c r="H22" i="104"/>
  <c r="K22" i="104" s="1"/>
  <c r="D71" i="104"/>
  <c r="D72" i="104" s="1"/>
  <c r="H45" i="104"/>
  <c r="K45" i="104" s="1"/>
  <c r="E71" i="104"/>
  <c r="E72" i="104" s="1"/>
  <c r="I70" i="104"/>
  <c r="L70" i="104" s="1"/>
  <c r="I44" i="104"/>
  <c r="L44" i="104" s="1"/>
  <c r="E122" i="104"/>
  <c r="E123" i="104" s="1"/>
  <c r="I110" i="104"/>
  <c r="L110" i="104" s="1"/>
  <c r="D122" i="104"/>
  <c r="D123" i="104" s="1"/>
  <c r="H110" i="104"/>
  <c r="L2" i="104" l="1"/>
  <c r="K2" i="104"/>
  <c r="K110" i="104"/>
  <c r="D101" i="102" l="1"/>
  <c r="E101" i="102"/>
  <c r="I126" i="102" s="1"/>
  <c r="L126" i="102" s="1"/>
  <c r="H102" i="102"/>
  <c r="K102" i="102" s="1"/>
  <c r="I102" i="102"/>
  <c r="L102" i="102" s="1"/>
  <c r="D107" i="102"/>
  <c r="H112" i="102" s="1"/>
  <c r="K112" i="102" s="1"/>
  <c r="E107" i="102"/>
  <c r="I112" i="102" s="1"/>
  <c r="L112" i="102" s="1"/>
  <c r="H108" i="102"/>
  <c r="K108" i="102" s="1"/>
  <c r="I108" i="102"/>
  <c r="L108" i="102" s="1"/>
  <c r="H113" i="102"/>
  <c r="K113" i="102" s="1"/>
  <c r="I113" i="102"/>
  <c r="L113" i="102" s="1"/>
  <c r="D114" i="102"/>
  <c r="E114" i="102"/>
  <c r="H115" i="102"/>
  <c r="K115" i="102" s="1"/>
  <c r="I115" i="102"/>
  <c r="L115" i="102" s="1"/>
  <c r="H121" i="102"/>
  <c r="K121" i="102" s="1"/>
  <c r="I121" i="102"/>
  <c r="L121" i="102" s="1"/>
  <c r="H123" i="102"/>
  <c r="K123" i="102" s="1"/>
  <c r="I123" i="102"/>
  <c r="L123" i="102" s="1"/>
  <c r="H124" i="102"/>
  <c r="K124" i="102" s="1"/>
  <c r="I124" i="102"/>
  <c r="L124" i="102" s="1"/>
  <c r="H125" i="102"/>
  <c r="K125" i="102" s="1"/>
  <c r="H126" i="102"/>
  <c r="K126" i="102" s="1"/>
  <c r="H127" i="102"/>
  <c r="K127" i="102" s="1"/>
  <c r="I127" i="102"/>
  <c r="L127" i="102" s="1"/>
  <c r="H128" i="102"/>
  <c r="K128" i="102" s="1"/>
  <c r="I128" i="102"/>
  <c r="L128" i="102" s="1"/>
  <c r="H85" i="102"/>
  <c r="K85" i="102" s="1"/>
  <c r="I85" i="102"/>
  <c r="L85" i="102" s="1"/>
  <c r="H87" i="102"/>
  <c r="K87" i="102" s="1"/>
  <c r="I87" i="102"/>
  <c r="L87" i="102" s="1"/>
  <c r="H88" i="102"/>
  <c r="K88" i="102" s="1"/>
  <c r="I88" i="102"/>
  <c r="L88" i="102" s="1"/>
  <c r="H89" i="102"/>
  <c r="K89" i="102" s="1"/>
  <c r="I89" i="102"/>
  <c r="L89" i="102" s="1"/>
  <c r="H91" i="102"/>
  <c r="K91" i="102" s="1"/>
  <c r="I91" i="102"/>
  <c r="L91" i="102" s="1"/>
  <c r="D92" i="102"/>
  <c r="E92" i="102"/>
  <c r="H94" i="102"/>
  <c r="K94" i="102" s="1"/>
  <c r="I94" i="102"/>
  <c r="L94" i="102" s="1"/>
  <c r="H97" i="102"/>
  <c r="K97" i="102" s="1"/>
  <c r="I97" i="102"/>
  <c r="L97" i="102" s="1"/>
  <c r="I71" i="102"/>
  <c r="L71" i="102" s="1"/>
  <c r="H71" i="102"/>
  <c r="K71" i="102" s="1"/>
  <c r="E66" i="102"/>
  <c r="I61" i="102" s="1"/>
  <c r="L61" i="102" s="1"/>
  <c r="D66" i="102"/>
  <c r="H61" i="102" s="1"/>
  <c r="K61" i="102" s="1"/>
  <c r="I59" i="102"/>
  <c r="L59" i="102" s="1"/>
  <c r="H59" i="102"/>
  <c r="K59" i="102" s="1"/>
  <c r="L58" i="102"/>
  <c r="K58" i="102"/>
  <c r="I57" i="102"/>
  <c r="L57" i="102" s="1"/>
  <c r="H57" i="102"/>
  <c r="K57" i="102" s="1"/>
  <c r="I52" i="102"/>
  <c r="L52" i="102" s="1"/>
  <c r="H52" i="102"/>
  <c r="K52" i="102" s="1"/>
  <c r="I45" i="102"/>
  <c r="L45" i="102" s="1"/>
  <c r="H45" i="102"/>
  <c r="K45" i="102" s="1"/>
  <c r="I44" i="102"/>
  <c r="L44" i="102" s="1"/>
  <c r="H44" i="102"/>
  <c r="K44" i="102" s="1"/>
  <c r="E39" i="102"/>
  <c r="I40" i="102" s="1"/>
  <c r="L40" i="102" s="1"/>
  <c r="D39" i="102"/>
  <c r="H40" i="102" s="1"/>
  <c r="K40" i="102" s="1"/>
  <c r="I35" i="102"/>
  <c r="L35" i="102" s="1"/>
  <c r="H35" i="102"/>
  <c r="K35" i="102" s="1"/>
  <c r="I34" i="102"/>
  <c r="L34" i="102" s="1"/>
  <c r="H34" i="102"/>
  <c r="K34" i="102" s="1"/>
  <c r="I33" i="102"/>
  <c r="L33" i="102" s="1"/>
  <c r="H33" i="102"/>
  <c r="K33" i="102" s="1"/>
  <c r="I32" i="102"/>
  <c r="L32" i="102" s="1"/>
  <c r="H32" i="102"/>
  <c r="K32" i="102" s="1"/>
  <c r="I31" i="102"/>
  <c r="L31" i="102" s="1"/>
  <c r="H31" i="102"/>
  <c r="K31" i="102" s="1"/>
  <c r="I30" i="102"/>
  <c r="L30" i="102" s="1"/>
  <c r="H30" i="102"/>
  <c r="K30" i="102" s="1"/>
  <c r="I29" i="102"/>
  <c r="L29" i="102" s="1"/>
  <c r="H29" i="102"/>
  <c r="K29" i="102" s="1"/>
  <c r="I28" i="102"/>
  <c r="L28" i="102" s="1"/>
  <c r="H28" i="102"/>
  <c r="K28" i="102" s="1"/>
  <c r="I27" i="102"/>
  <c r="L27" i="102" s="1"/>
  <c r="H27" i="102"/>
  <c r="K27" i="102" s="1"/>
  <c r="I26" i="102"/>
  <c r="L26" i="102" s="1"/>
  <c r="H26" i="102"/>
  <c r="K26" i="102" s="1"/>
  <c r="I25" i="102"/>
  <c r="L25" i="102" s="1"/>
  <c r="H25" i="102"/>
  <c r="K25" i="102" s="1"/>
  <c r="I24" i="102"/>
  <c r="L24" i="102" s="1"/>
  <c r="H24" i="102"/>
  <c r="K24" i="102" s="1"/>
  <c r="I22" i="102"/>
  <c r="L22" i="102" s="1"/>
  <c r="H22" i="102"/>
  <c r="K22" i="102" s="1"/>
  <c r="E21" i="102"/>
  <c r="D21" i="102"/>
  <c r="I19" i="102"/>
  <c r="L19" i="102" s="1"/>
  <c r="H19" i="102"/>
  <c r="K19" i="102" s="1"/>
  <c r="I18" i="102"/>
  <c r="L18" i="102" s="1"/>
  <c r="H18" i="102"/>
  <c r="K18" i="102" s="1"/>
  <c r="I15" i="102"/>
  <c r="L15" i="102" s="1"/>
  <c r="H15" i="102"/>
  <c r="K15" i="102" s="1"/>
  <c r="I125" i="102" l="1"/>
  <c r="L125" i="102" s="1"/>
  <c r="E88" i="91" l="1"/>
  <c r="E85" i="91"/>
  <c r="E84" i="91"/>
  <c r="E79" i="91"/>
  <c r="F55" i="94" s="1"/>
  <c r="E69" i="91"/>
  <c r="E60" i="91"/>
  <c r="E59" i="91"/>
  <c r="E61" i="91" s="1"/>
  <c r="F53" i="94" s="1"/>
  <c r="E46" i="91"/>
  <c r="E52" i="91" s="1"/>
  <c r="E40" i="91"/>
  <c r="E33" i="91"/>
  <c r="F47" i="94" s="1"/>
  <c r="F46" i="94"/>
  <c r="E17" i="91"/>
  <c r="F43" i="94" s="1"/>
  <c r="F48" i="94" l="1"/>
  <c r="E80" i="91"/>
  <c r="E81" i="91" s="1"/>
  <c r="F56" i="94"/>
  <c r="E34" i="91"/>
  <c r="E35" i="91" s="1"/>
  <c r="E46" i="90"/>
  <c r="E47" i="90" s="1"/>
  <c r="E36" i="90"/>
  <c r="F35" i="94" s="1"/>
  <c r="E32" i="90"/>
  <c r="F34" i="94" s="1"/>
  <c r="E24" i="90"/>
  <c r="E16" i="90"/>
  <c r="F31" i="94" s="1"/>
  <c r="I62" i="91"/>
  <c r="L62" i="91" s="1"/>
  <c r="H62" i="91"/>
  <c r="K62" i="91" s="1"/>
  <c r="H30" i="91"/>
  <c r="K30" i="91" s="1"/>
  <c r="H31" i="91"/>
  <c r="K31" i="91" s="1"/>
  <c r="I18" i="91"/>
  <c r="L18" i="91" s="1"/>
  <c r="H18" i="91"/>
  <c r="K18" i="91" s="1"/>
  <c r="D88" i="91"/>
  <c r="D85" i="91"/>
  <c r="D84" i="91"/>
  <c r="D79" i="91"/>
  <c r="E55" i="94" s="1"/>
  <c r="E56" i="94" s="1"/>
  <c r="D60" i="91"/>
  <c r="D59" i="91"/>
  <c r="D61" i="91" s="1"/>
  <c r="E53" i="94" s="1"/>
  <c r="D46" i="91"/>
  <c r="D52" i="91" s="1"/>
  <c r="D33" i="91"/>
  <c r="E47" i="94" s="1"/>
  <c r="D32" i="91"/>
  <c r="E46" i="94" s="1"/>
  <c r="D17" i="91"/>
  <c r="E43" i="94" s="1"/>
  <c r="D46" i="90"/>
  <c r="D47" i="90" s="1"/>
  <c r="D36" i="90"/>
  <c r="E35" i="94" s="1"/>
  <c r="D32" i="90"/>
  <c r="E34" i="94" s="1"/>
  <c r="D24" i="90"/>
  <c r="I17" i="90"/>
  <c r="L17" i="90" s="1"/>
  <c r="H17" i="90"/>
  <c r="K17" i="90" s="1"/>
  <c r="D16" i="90"/>
  <c r="E31" i="94" s="1"/>
  <c r="E48" i="94" l="1"/>
  <c r="D34" i="91"/>
  <c r="D35" i="91" s="1"/>
  <c r="D80" i="91"/>
  <c r="D81" i="91" s="1"/>
  <c r="D74" i="102"/>
  <c r="E74" i="102"/>
  <c r="D28" i="90"/>
  <c r="E33" i="94" s="1"/>
  <c r="E28" i="90"/>
  <c r="F33" i="94" s="1"/>
  <c r="F59" i="94" l="1"/>
  <c r="E37" i="90"/>
  <c r="E38" i="90" s="1"/>
  <c r="F36" i="94"/>
  <c r="D37" i="90"/>
  <c r="D38" i="90" s="1"/>
  <c r="E36" i="94"/>
  <c r="D80" i="102"/>
  <c r="H75" i="102" s="1"/>
  <c r="K75" i="102" s="1"/>
  <c r="H83" i="102"/>
  <c r="K83" i="102" s="1"/>
  <c r="H82" i="102"/>
  <c r="K82" i="102" s="1"/>
  <c r="E80" i="102"/>
  <c r="I75" i="102" s="1"/>
  <c r="L75" i="102" s="1"/>
  <c r="I83" i="102"/>
  <c r="L83" i="102" s="1"/>
  <c r="I82" i="102"/>
  <c r="L82" i="102" s="1"/>
  <c r="K2" i="102" l="1"/>
  <c r="L2" i="102"/>
  <c r="H51" i="91"/>
  <c r="K51" i="91" s="1"/>
  <c r="I51" i="91"/>
  <c r="L51" i="91" s="1"/>
  <c r="H50" i="91"/>
  <c r="K50" i="91" s="1"/>
  <c r="I50" i="91"/>
  <c r="L50" i="91" s="1"/>
  <c r="H48" i="91"/>
  <c r="K48" i="91" s="1"/>
  <c r="I48" i="91"/>
  <c r="L48" i="91" s="1"/>
  <c r="H87" i="91" l="1"/>
  <c r="K87" i="91" s="1"/>
  <c r="I87" i="91"/>
  <c r="L87" i="91" s="1"/>
  <c r="H86" i="91"/>
  <c r="K86" i="91" s="1"/>
  <c r="I86" i="91"/>
  <c r="L86" i="91" s="1"/>
  <c r="H15" i="91" l="1"/>
  <c r="K15" i="91" s="1"/>
  <c r="I15" i="91"/>
  <c r="L15" i="91" s="1"/>
  <c r="C4" i="95"/>
  <c r="I25" i="91" l="1"/>
  <c r="L25" i="91" s="1"/>
  <c r="H25" i="91"/>
  <c r="K25" i="91" s="1"/>
  <c r="H4" i="91"/>
  <c r="K4" i="91" s="1"/>
  <c r="I4" i="91"/>
  <c r="L4" i="91" s="1"/>
  <c r="H8" i="90"/>
  <c r="K8" i="90" s="1"/>
  <c r="I8" i="90"/>
  <c r="L8" i="90" s="1"/>
  <c r="I7" i="90"/>
  <c r="L7" i="90" s="1"/>
  <c r="H7" i="90"/>
  <c r="K7" i="90" s="1"/>
  <c r="C14" i="94" l="1"/>
  <c r="D13" i="94" l="1"/>
  <c r="D14" i="94" s="1"/>
  <c r="C16" i="94"/>
  <c r="C9" i="94"/>
  <c r="D5" i="94" s="1"/>
  <c r="D6" i="94"/>
  <c r="C38" i="94"/>
  <c r="C50" i="94"/>
  <c r="C8" i="94"/>
  <c r="D33" i="94" l="1"/>
  <c r="D36" i="94" s="1"/>
  <c r="D15" i="94"/>
  <c r="D16" i="94"/>
  <c r="F17" i="94" s="1"/>
  <c r="D7" i="94"/>
  <c r="D50" i="94"/>
  <c r="D45" i="94"/>
  <c r="C15" i="94"/>
  <c r="C37" i="94"/>
  <c r="C49" i="94"/>
  <c r="C57" i="94"/>
  <c r="D37" i="94" l="1"/>
  <c r="D39" i="94"/>
  <c r="D40" i="94"/>
  <c r="D38" i="94"/>
  <c r="D9" i="94"/>
  <c r="D8" i="94"/>
  <c r="H6" i="91"/>
  <c r="K6" i="91" s="1"/>
  <c r="I6" i="91"/>
  <c r="L6" i="91" s="1"/>
  <c r="H7" i="91"/>
  <c r="K7" i="91" s="1"/>
  <c r="I7" i="91"/>
  <c r="L7" i="91" s="1"/>
  <c r="I38" i="91" l="1"/>
  <c r="L38" i="91" s="1"/>
  <c r="H38" i="91"/>
  <c r="K38" i="91" s="1"/>
  <c r="I37" i="91"/>
  <c r="L37" i="91" s="1"/>
  <c r="H37" i="91"/>
  <c r="K37" i="91" s="1"/>
  <c r="K3" i="90" l="1"/>
  <c r="L3" i="90"/>
  <c r="H82" i="91" l="1"/>
  <c r="K82" i="91" s="1"/>
  <c r="I82" i="91"/>
  <c r="L82" i="91" s="1"/>
  <c r="H75" i="91"/>
  <c r="K75" i="91" s="1"/>
  <c r="I75" i="91"/>
  <c r="L75" i="91" s="1"/>
  <c r="H66" i="91"/>
  <c r="K66" i="91" s="1"/>
  <c r="I66" i="91"/>
  <c r="L66" i="91" s="1"/>
  <c r="H67" i="91"/>
  <c r="K67" i="91" s="1"/>
  <c r="I67" i="91"/>
  <c r="L67" i="91" s="1"/>
  <c r="H68" i="91"/>
  <c r="K68" i="91" s="1"/>
  <c r="I68" i="91"/>
  <c r="L68" i="91" s="1"/>
  <c r="H73" i="91"/>
  <c r="K73" i="91" s="1"/>
  <c r="I73" i="91"/>
  <c r="L73" i="91" s="1"/>
  <c r="H44" i="91"/>
  <c r="K44" i="91" s="1"/>
  <c r="I44" i="91"/>
  <c r="L44" i="91" s="1"/>
  <c r="H45" i="91"/>
  <c r="K45" i="91" s="1"/>
  <c r="I45" i="91"/>
  <c r="L45" i="91" s="1"/>
  <c r="H53" i="91"/>
  <c r="K53" i="91" s="1"/>
  <c r="I53" i="91"/>
  <c r="L53" i="91" s="1"/>
  <c r="H54" i="91"/>
  <c r="K54" i="91" s="1"/>
  <c r="I54" i="91"/>
  <c r="L54" i="91" s="1"/>
  <c r="H55" i="91"/>
  <c r="K55" i="91" s="1"/>
  <c r="I55" i="91"/>
  <c r="L55" i="91" s="1"/>
  <c r="H56" i="91"/>
  <c r="K56" i="91" s="1"/>
  <c r="I56" i="91"/>
  <c r="L56" i="91" s="1"/>
  <c r="H42" i="91"/>
  <c r="K42" i="91" s="1"/>
  <c r="I42" i="91"/>
  <c r="L42" i="91" s="1"/>
  <c r="I30" i="91"/>
  <c r="L30" i="91" s="1"/>
  <c r="I31" i="91"/>
  <c r="L31" i="91" s="1"/>
  <c r="H36" i="91"/>
  <c r="K36" i="91" s="1"/>
  <c r="I36" i="91"/>
  <c r="L36" i="91" s="1"/>
  <c r="H39" i="91"/>
  <c r="K39" i="91" s="1"/>
  <c r="I39" i="91"/>
  <c r="L39" i="91" s="1"/>
  <c r="H41" i="91"/>
  <c r="K41" i="91" s="1"/>
  <c r="I41" i="91"/>
  <c r="L41" i="91" s="1"/>
  <c r="H23" i="91"/>
  <c r="K23" i="91" s="1"/>
  <c r="I23" i="91"/>
  <c r="L23" i="91" s="1"/>
  <c r="H22" i="91"/>
  <c r="K22" i="91" s="1"/>
  <c r="I22" i="91"/>
  <c r="L22" i="91" s="1"/>
  <c r="H16" i="91"/>
  <c r="K16" i="91" s="1"/>
  <c r="I16" i="91"/>
  <c r="L16" i="91" s="1"/>
  <c r="K3" i="91"/>
  <c r="L3" i="91"/>
  <c r="H5" i="91"/>
  <c r="K5" i="91" s="1"/>
  <c r="I5" i="91"/>
  <c r="L5" i="91" s="1"/>
  <c r="H71" i="91" l="1"/>
  <c r="K71" i="91" s="1"/>
  <c r="H74" i="91"/>
  <c r="K74" i="91" s="1"/>
  <c r="H83" i="91"/>
  <c r="K83" i="91" s="1"/>
  <c r="I71" i="91"/>
  <c r="L71" i="91" s="1"/>
  <c r="I83" i="91"/>
  <c r="L83" i="91" s="1"/>
  <c r="I74" i="91"/>
  <c r="L74" i="91" s="1"/>
  <c r="H32" i="91"/>
  <c r="K32" i="91" s="1"/>
  <c r="H17" i="91"/>
  <c r="K17" i="91" s="1"/>
  <c r="H72" i="91"/>
  <c r="K72" i="91" s="1"/>
  <c r="I79" i="91"/>
  <c r="L79" i="91" s="1"/>
  <c r="H33" i="91"/>
  <c r="K33" i="91" s="1"/>
  <c r="I33" i="91"/>
  <c r="L33" i="91" s="1"/>
  <c r="I32" i="91"/>
  <c r="L32" i="91" s="1"/>
  <c r="H79" i="91"/>
  <c r="K79" i="91" s="1"/>
  <c r="I17" i="91"/>
  <c r="L17" i="91" s="1"/>
  <c r="I70" i="91"/>
  <c r="L70" i="91" s="1"/>
  <c r="H70" i="91"/>
  <c r="K70" i="91" s="1"/>
  <c r="I72" i="91"/>
  <c r="L72" i="91" s="1"/>
  <c r="H21" i="90"/>
  <c r="K21" i="90" s="1"/>
  <c r="I21" i="90"/>
  <c r="L21" i="90" s="1"/>
  <c r="H22" i="90"/>
  <c r="K22" i="90" s="1"/>
  <c r="I22" i="90"/>
  <c r="L22" i="90" s="1"/>
  <c r="H23" i="90"/>
  <c r="K23" i="90" s="1"/>
  <c r="I23" i="90"/>
  <c r="L23" i="90" s="1"/>
  <c r="H25" i="90"/>
  <c r="K25" i="90" s="1"/>
  <c r="I25" i="90"/>
  <c r="L25" i="90" s="1"/>
  <c r="H26" i="90"/>
  <c r="K26" i="90" s="1"/>
  <c r="I26" i="90"/>
  <c r="L26" i="90" s="1"/>
  <c r="H27" i="90"/>
  <c r="K27" i="90" s="1"/>
  <c r="I27" i="90"/>
  <c r="L27" i="90" s="1"/>
  <c r="H29" i="90"/>
  <c r="K29" i="90" s="1"/>
  <c r="I29" i="90"/>
  <c r="L29" i="90" s="1"/>
  <c r="H30" i="90"/>
  <c r="K30" i="90" s="1"/>
  <c r="I30" i="90"/>
  <c r="L30" i="90" s="1"/>
  <c r="H31" i="90"/>
  <c r="K31" i="90" s="1"/>
  <c r="I31" i="90"/>
  <c r="L31" i="90" s="1"/>
  <c r="H33" i="90"/>
  <c r="K33" i="90" s="1"/>
  <c r="I33" i="90"/>
  <c r="L33" i="90" s="1"/>
  <c r="H34" i="90"/>
  <c r="K34" i="90" s="1"/>
  <c r="I34" i="90"/>
  <c r="L34" i="90" s="1"/>
  <c r="H35" i="90"/>
  <c r="K35" i="90" s="1"/>
  <c r="I35" i="90"/>
  <c r="L35" i="90" s="1"/>
  <c r="H39" i="90"/>
  <c r="K39" i="90" s="1"/>
  <c r="I39" i="90"/>
  <c r="L39" i="90" s="1"/>
  <c r="H40" i="90"/>
  <c r="K40" i="90" s="1"/>
  <c r="I40" i="90"/>
  <c r="L40" i="90" s="1"/>
  <c r="H41" i="90"/>
  <c r="K41" i="90" s="1"/>
  <c r="I41" i="90"/>
  <c r="L41" i="90" s="1"/>
  <c r="H42" i="90"/>
  <c r="K42" i="90" s="1"/>
  <c r="I42" i="90"/>
  <c r="L42" i="90" s="1"/>
  <c r="H43" i="90"/>
  <c r="K43" i="90" s="1"/>
  <c r="I43" i="90"/>
  <c r="L43" i="90" s="1"/>
  <c r="H44" i="90"/>
  <c r="K44" i="90" s="1"/>
  <c r="I44" i="90"/>
  <c r="L44" i="90" s="1"/>
  <c r="H45" i="90"/>
  <c r="K45" i="90" s="1"/>
  <c r="I45" i="90"/>
  <c r="L45" i="90" s="1"/>
  <c r="H14" i="90"/>
  <c r="K14" i="90" s="1"/>
  <c r="I14" i="90"/>
  <c r="L14" i="90" s="1"/>
  <c r="H15" i="90"/>
  <c r="K15" i="90" s="1"/>
  <c r="I15" i="90"/>
  <c r="L15" i="90" s="1"/>
  <c r="H9" i="90"/>
  <c r="K9" i="90" s="1"/>
  <c r="I9" i="90"/>
  <c r="L9" i="90" s="1"/>
  <c r="H10" i="90"/>
  <c r="K10" i="90" s="1"/>
  <c r="I10" i="90"/>
  <c r="L10" i="90" s="1"/>
  <c r="I16" i="90" l="1"/>
  <c r="L16" i="90" s="1"/>
  <c r="H16" i="90"/>
  <c r="K16" i="90" s="1"/>
  <c r="I61" i="91"/>
  <c r="L61" i="91" s="1"/>
  <c r="L2" i="91" s="1"/>
  <c r="H61" i="91"/>
  <c r="K61" i="91" s="1"/>
  <c r="K2" i="91" s="1"/>
  <c r="F67" i="94"/>
  <c r="F51" i="94" s="1"/>
  <c r="H32" i="90"/>
  <c r="K32" i="90" s="1"/>
  <c r="I32" i="90"/>
  <c r="L32" i="90" s="1"/>
  <c r="I36" i="90"/>
  <c r="L36" i="90" s="1"/>
  <c r="H36" i="90"/>
  <c r="K36" i="90" s="1"/>
  <c r="I24" i="90"/>
  <c r="L24" i="90" s="1"/>
  <c r="H24" i="90"/>
  <c r="K24" i="90" s="1"/>
  <c r="E66" i="94" l="1"/>
  <c r="E67" i="94"/>
  <c r="I28" i="90"/>
  <c r="L28" i="90" s="1"/>
  <c r="L2" i="90" s="1"/>
  <c r="H28" i="90"/>
  <c r="K28" i="90" s="1"/>
  <c r="K2" i="90" s="1"/>
  <c r="F66" i="94" l="1"/>
  <c r="F41" i="94" s="1"/>
  <c r="E64" i="94" l="1"/>
  <c r="F64" i="94"/>
  <c r="F10" i="94" s="1"/>
  <c r="E65" i="94" l="1"/>
  <c r="F65" i="94"/>
  <c r="F29" i="9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F48" authorId="0" shapeId="0" xr:uid="{00000000-0006-0000-0100-000001000000}">
      <text>
        <r>
          <rPr>
            <sz val="10"/>
            <color indexed="81"/>
            <rFont val="Calibri"/>
            <family val="2"/>
            <scheme val="minor"/>
          </rPr>
          <t>In caso di misura in data successiva al  31/12 dell’anno a ma entro il 31/1 dell’anno a+1 sono da considerare nulli i volumi relativi al periodo dal 1/1 dell’anno a+1 fino alla data di lettura.</t>
        </r>
      </text>
    </comment>
    <comment ref="F50" authorId="0" shapeId="0" xr:uid="{00000000-0006-0000-0100-000002000000}">
      <text>
        <r>
          <rPr>
            <sz val="10"/>
            <color indexed="81"/>
            <rFont val="Calibri"/>
            <family val="2"/>
            <scheme val="minor"/>
          </rPr>
          <t>In caso di misura in data successiva al 31/12 dell’anno a ma entro il 31/1 dell’anno a+1 sono da considerare nulli i consumi relativi al periodo dal 1/1 dell’anno a+1 fino alla data di lettura.</t>
        </r>
      </text>
    </comment>
    <comment ref="F59" authorId="0" shapeId="0" xr:uid="{00000000-0006-0000-0100-000003000000}">
      <text>
        <r>
          <rPr>
            <sz val="9"/>
            <color indexed="81"/>
            <rFont val="Tahoma"/>
            <family val="2"/>
          </rPr>
          <t xml:space="preserve">Fontane, fontanelle e idranti non rientrano nel conteggio in quanto non contrattualizzate separatamente
</t>
        </r>
      </text>
    </comment>
    <comment ref="F136" authorId="0" shapeId="0" xr:uid="{00000000-0006-0000-0100-000004000000}">
      <text>
        <r>
          <rPr>
            <sz val="9"/>
            <color indexed="81"/>
            <rFont val="Tahoma"/>
            <family val="2"/>
          </rPr>
          <t xml:space="preserve">occorre escludere eventuali volumi associati a periodi temporali durante i quali il sistema di trasmissione dei dati non ha funzionato
</t>
        </r>
      </text>
    </comment>
    <comment ref="F137" authorId="0" shapeId="0" xr:uid="{00000000-0006-0000-0100-000005000000}">
      <text>
        <r>
          <rPr>
            <sz val="9"/>
            <color indexed="81"/>
            <rFont val="Tahoma"/>
            <family val="2"/>
          </rPr>
          <t>occorre escludere eventuali volumi associati a periodi temporali durante i quali il sistema di trasmissione dei dati non ha funzionato</t>
        </r>
      </text>
    </comment>
    <comment ref="F139" authorId="0" shapeId="0" xr:uid="{00000000-0006-0000-0100-000006000000}">
      <text>
        <r>
          <rPr>
            <sz val="9"/>
            <color indexed="81"/>
            <rFont val="Tahoma"/>
            <family val="2"/>
          </rPr>
          <t>occorre escludere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>eventuali volumi associati a periodi temporali durante i quali il sistema di trasmissione dei dati non ha funzionato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40" authorId="0" shapeId="0" xr:uid="{00000000-0006-0000-0100-000007000000}">
      <text>
        <r>
          <rPr>
            <sz val="9"/>
            <color indexed="81"/>
            <rFont val="Tahoma"/>
            <family val="2"/>
          </rPr>
          <t>occorre escludere eventuali volumi associati a periodi temporali durante i quali il sistema di trasmissione dei dati non ha funzionato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C2" authorId="0" shapeId="0" xr:uid="{00000000-0006-0000-0500-000001000000}">
      <text>
        <r>
          <rPr>
            <b/>
            <sz val="10"/>
            <color indexed="81"/>
            <rFont val="Calibri"/>
            <family val="2"/>
          </rPr>
          <t xml:space="preserve">Nelle celle gialle, inserire i valori (relativi all'anno 2019) per la definizione degli obiettivi 2020 e 2021 - Per i gestori approvati MTI-3, è possibile copiare e incollare i medesimi valori dal file Dati_storici.xlsx fornito dall'Autorità (foglio Riepilogo_RQTI_20-21), </t>
        </r>
        <r>
          <rPr>
            <b/>
            <u/>
            <sz val="10"/>
            <color indexed="81"/>
            <rFont val="Calibri"/>
            <family val="2"/>
          </rPr>
          <t>fatto salvo il valore di M1a</t>
        </r>
        <r>
          <rPr>
            <b/>
            <sz val="10"/>
            <color indexed="81"/>
            <rFont val="Calibri"/>
            <family val="2"/>
          </rPr>
          <t>, che deve essere ricalcolato sulla base di quanto previsto dall’art. 10 della deliberazione 639/2021/R/idr</t>
        </r>
      </text>
    </comment>
    <comment ref="E62" authorId="0" shapeId="0" xr:uid="{00000000-0006-0000-0500-000002000000}">
      <text>
        <r>
          <rPr>
            <sz val="9"/>
            <color indexed="81"/>
            <rFont val="Tahoma"/>
            <family val="2"/>
          </rPr>
          <t xml:space="preserve">NO=classe peggiorata </t>
        </r>
      </text>
    </comment>
  </commentList>
</comments>
</file>

<file path=xl/sharedStrings.xml><?xml version="1.0" encoding="utf-8"?>
<sst xmlns="http://schemas.openxmlformats.org/spreadsheetml/2006/main" count="3948" uniqueCount="3330">
  <si>
    <t>RQTI 2022 - Raccolta dati di consuntivo di qualità tecnica - Anni 2020 e 2021</t>
  </si>
  <si>
    <t>ATO</t>
  </si>
  <si>
    <t>GESTORE</t>
  </si>
  <si>
    <t>ID_ATO</t>
  </si>
  <si>
    <t>campo_vuoto</t>
  </si>
  <si>
    <t>ID_ARERA_Gestore</t>
  </si>
  <si>
    <t>Gestore</t>
  </si>
  <si>
    <t>Elenco schede (cliccare sul titolo per andare alla scheda corrispondente):</t>
  </si>
  <si>
    <t>Monitoraggio RQTI per applicazione meccanismo incentivante</t>
  </si>
  <si>
    <t>Qualità Tecnica: Acquedotto (dati 2020 e 2021)</t>
  </si>
  <si>
    <t>Qualità Tecnica: Fognatura (dati 2020 e 2021)</t>
  </si>
  <si>
    <t>Qualità Tecnica: Depurazione (dati 2020 e 2021)</t>
  </si>
  <si>
    <t>Altri dati per monitoraggio RQTI</t>
  </si>
  <si>
    <t>Altri dati (anni 2020 e 2021)</t>
  </si>
  <si>
    <t>Riepilogo RQTI: valutazione performance anni 2020-2021</t>
  </si>
  <si>
    <r>
      <t xml:space="preserve">Dati per l'applicazione dei meccanismi di 
incentivazione RQTI (premi e penalità)
</t>
    </r>
    <r>
      <rPr>
        <sz val="12"/>
        <color theme="3"/>
        <rFont val="Calibri"/>
        <family val="2"/>
        <scheme val="minor"/>
      </rPr>
      <t xml:space="preserve">Tutti i valori imputati sono intesi essere valori 
consuntivi </t>
    </r>
  </si>
  <si>
    <t>Errori compilazione colonna "Valore Anno 2020"</t>
  </si>
  <si>
    <t>Errori compilazione colonna "Valore Anno 2021"</t>
  </si>
  <si>
    <t xml:space="preserve">Notazione dato </t>
  </si>
  <si>
    <t>Descrizione dato</t>
  </si>
  <si>
    <t>UdM</t>
  </si>
  <si>
    <t>Valore Anno 2020</t>
  </si>
  <si>
    <t>Valore Anno 2021</t>
  </si>
  <si>
    <t>Note compilazione</t>
  </si>
  <si>
    <t>Errore rilevato in colonna "Valore Anno 2020"</t>
  </si>
  <si>
    <t>Errore rilevato in colonna "Valore Anno 2021"</t>
  </si>
  <si>
    <t>ACQ</t>
  </si>
  <si>
    <t>Il gestore gestisce il servizio di acquedotto?
Se sì, specificare:</t>
  </si>
  <si>
    <t>-</t>
  </si>
  <si>
    <t>SI</t>
  </si>
  <si>
    <t>Al fine del calcolo dei macro-indicatori è necessario indicare se il servizio è gestito</t>
  </si>
  <si>
    <t>ACQ_c</t>
  </si>
  <si>
    <t>- captazione</t>
  </si>
  <si>
    <t>X</t>
  </si>
  <si>
    <t>ACQ_a</t>
  </si>
  <si>
    <t>- adduzione</t>
  </si>
  <si>
    <t>ACQ_p</t>
  </si>
  <si>
    <t>-  potabilizzazione</t>
  </si>
  <si>
    <t>ACQ_d</t>
  </si>
  <si>
    <t>- distribuzione</t>
  </si>
  <si>
    <t>PRA</t>
  </si>
  <si>
    <t>Popolazione residente servita (PRA)</t>
  </si>
  <si>
    <t>ab.</t>
  </si>
  <si>
    <t>A parità di perimetro il dato è corrispondente a quello del file RDT2022, nel foglio Dati_tecnici</t>
  </si>
  <si>
    <t>PFA</t>
  </si>
  <si>
    <t>Popolazione fluttuante (PFA)</t>
  </si>
  <si>
    <t>ComA</t>
  </si>
  <si>
    <t>Numero di comuni serviti (ComA)</t>
  </si>
  <si>
    <t xml:space="preserve">n. </t>
  </si>
  <si>
    <t>SUA</t>
  </si>
  <si>
    <t>Superficie  (SUA)</t>
  </si>
  <si>
    <t>kmq</t>
  </si>
  <si>
    <r>
      <t>EE</t>
    </r>
    <r>
      <rPr>
        <vertAlign val="subscript"/>
        <sz val="11"/>
        <color indexed="8"/>
        <rFont val="Calibri"/>
        <family val="2"/>
        <scheme val="minor"/>
      </rPr>
      <t>ACQ</t>
    </r>
  </si>
  <si>
    <t>Consumo di energia elettrica per servizio di acquedotto, al netto dell'energia autoprodotta</t>
  </si>
  <si>
    <t>kWh</t>
  </si>
  <si>
    <t>Il dato include la quota parte relativa ai servizi comuni</t>
  </si>
  <si>
    <r>
      <t>EE</t>
    </r>
    <r>
      <rPr>
        <vertAlign val="subscript"/>
        <sz val="11"/>
        <color indexed="8"/>
        <rFont val="Calibri"/>
        <family val="2"/>
        <scheme val="minor"/>
      </rPr>
      <t>AAI</t>
    </r>
  </si>
  <si>
    <t>Consumo di energia elettrica per Altre Attività Idriche (definizione rilevante ai sensi dell'unbundling)</t>
  </si>
  <si>
    <t>A parità di perimetro la somma dei dati relativi ad Acquedotto, Fognatura, Depurazione ed Altre Attività Idriche (come definite dal TIUC) deve corrispondere a quello del file RDT2022, nel foglio Dati_tecnici</t>
  </si>
  <si>
    <t>Valutazione prerequisiti per M1</t>
  </si>
  <si>
    <r>
      <t>WP</t>
    </r>
    <r>
      <rPr>
        <vertAlign val="subscript"/>
        <sz val="11"/>
        <rFont val="Calibri"/>
        <family val="2"/>
        <scheme val="minor"/>
      </rPr>
      <t>tot</t>
    </r>
  </si>
  <si>
    <t>Somma dei volumi di processo totali (presi ognuno in valore assoluto)</t>
  </si>
  <si>
    <t>mc</t>
  </si>
  <si>
    <t>Nei volumi di processo sono compresi i volumi scambiati con sistemi di acquedotto gestiti da altri gestori</t>
  </si>
  <si>
    <r>
      <t>WP</t>
    </r>
    <r>
      <rPr>
        <vertAlign val="subscript"/>
        <sz val="11"/>
        <rFont val="Calibri"/>
        <family val="2"/>
        <scheme val="minor"/>
      </rPr>
      <t>m</t>
    </r>
  </si>
  <si>
    <t>Somma dei volumi di processo misurati</t>
  </si>
  <si>
    <t>WP</t>
  </si>
  <si>
    <t>Quota volumi di processo misurati</t>
  </si>
  <si>
    <t>%</t>
  </si>
  <si>
    <t xml:space="preserve">Vedere RQTI al comma 20.2 </t>
  </si>
  <si>
    <r>
      <t>WU</t>
    </r>
    <r>
      <rPr>
        <vertAlign val="subscript"/>
        <sz val="11"/>
        <rFont val="Calibri"/>
        <family val="2"/>
        <scheme val="minor"/>
      </rPr>
      <t>tot</t>
    </r>
  </si>
  <si>
    <t>Somma dei volumi di utenza totali</t>
  </si>
  <si>
    <t>Volumi riferiti agli utenti finali, sono esclusi i volumi ceduti a reti di acquedotto gestite da altri gestori. 
N.B. Deve essere verificata la seguente equivalenza: WPtot + WUtot = ∑WIN + ∑WOUT</t>
  </si>
  <si>
    <r>
      <t>WU</t>
    </r>
    <r>
      <rPr>
        <vertAlign val="subscript"/>
        <sz val="11"/>
        <rFont val="Calibri"/>
        <family val="2"/>
        <scheme val="minor"/>
      </rPr>
      <t>m</t>
    </r>
  </si>
  <si>
    <t>Somma dei volumi di utenza misurati</t>
  </si>
  <si>
    <t>WU</t>
  </si>
  <si>
    <t>Quota volumi di utenza misurati</t>
  </si>
  <si>
    <t>Preq1</t>
  </si>
  <si>
    <t>Indicare se il prerequisito sulla disponibilità e affidabilità dei dati di misura è stato conseguito (prerequisito Preq1)</t>
  </si>
  <si>
    <t>Vedere RQTI, Art.20</t>
  </si>
  <si>
    <r>
      <t>Preq4</t>
    </r>
    <r>
      <rPr>
        <b/>
        <vertAlign val="subscript"/>
        <sz val="11"/>
        <color rgb="FF000000"/>
        <rFont val="Calibri"/>
        <family val="2"/>
      </rPr>
      <t>M1</t>
    </r>
  </si>
  <si>
    <t xml:space="preserve">Indicare l'esito della validazione ai fini della valutazione della disponibilità e affidabilità dei dati per M1 (prerequisito Preq4) </t>
  </si>
  <si>
    <t>Adeguato</t>
  </si>
  <si>
    <t>Indicare la presenza o meno del prerequisito Preq4 (Art.23 RQTI) per ogni colonna compilata</t>
  </si>
  <si>
    <r>
      <t>Ist</t>
    </r>
    <r>
      <rPr>
        <vertAlign val="subscript"/>
        <sz val="11"/>
        <color rgb="FF000000"/>
        <rFont val="Calibri"/>
        <family val="2"/>
        <scheme val="minor"/>
      </rPr>
      <t>D,M1</t>
    </r>
  </si>
  <si>
    <t>Indicare se è stata formulata istanza per eventi imprevisti e imprevedibili che hanno comportato il mancato rispetto degli obiettivi per M1</t>
  </si>
  <si>
    <t xml:space="preserve">Istanza ex-post ai sensi del comma 5.4, del. 917/2017 (riferita agli anni 2020 e/o 2021). Specificare motivazioni in relazione </t>
  </si>
  <si>
    <t>Calcolo del macro-indicatore M1</t>
  </si>
  <si>
    <r>
      <t>∑W</t>
    </r>
    <r>
      <rPr>
        <vertAlign val="subscript"/>
        <sz val="11"/>
        <color theme="1"/>
        <rFont val="Calibri"/>
        <family val="2"/>
        <scheme val="minor"/>
      </rPr>
      <t>IN</t>
    </r>
  </si>
  <si>
    <t xml:space="preserve">Somma dei volumi in ingresso nel sistema di acquedotto </t>
  </si>
  <si>
    <t>Si considerano sia i volumi prelevati dall'ambiente che quelli importati da sistemi di acquedotto/captazione gestiti da altri gestori</t>
  </si>
  <si>
    <t>Wimp</t>
  </si>
  <si>
    <t>di cui volume di acqua importata da altri soggetti</t>
  </si>
  <si>
    <t>Volume di acqua (potabile o non potabile) prelevato da sistemi di acquedotto/captazione gestiti da altri gestori e immesso nella rete di adduzione e/o di distribuzione</t>
  </si>
  <si>
    <t>WAM</t>
  </si>
  <si>
    <t>di cui volume di acqua prelevato dall'ambiente</t>
  </si>
  <si>
    <t>Non devono essere considerati i volumi importati da altri soggetti</t>
  </si>
  <si>
    <r>
      <t>∑W</t>
    </r>
    <r>
      <rPr>
        <vertAlign val="subscript"/>
        <sz val="11"/>
        <color theme="1"/>
        <rFont val="Calibri"/>
        <family val="2"/>
        <scheme val="minor"/>
      </rPr>
      <t>OUT</t>
    </r>
  </si>
  <si>
    <t xml:space="preserve">Somma dei volumi in uscita dal sistema di acquedotto </t>
  </si>
  <si>
    <r>
      <t xml:space="preserve">Laddove il dato sia comprensivo delle perdite di trattamento misurate è obbligatorio compilare la riga successiva. 
Non è la somma dei "di cui" sottostanti.
</t>
    </r>
    <r>
      <rPr>
        <sz val="10"/>
        <rFont val="Calibri"/>
        <family val="2"/>
        <scheme val="minor"/>
      </rPr>
      <t>N.B. Deve essere verificata la seguente equivalenza: WPtot + WUtot = ∑WIN + ∑WOUT</t>
    </r>
  </si>
  <si>
    <t>WLT1</t>
  </si>
  <si>
    <r>
      <t>di cui perdite trattamento misurate (se incluse in ∑W</t>
    </r>
    <r>
      <rPr>
        <i/>
        <vertAlign val="subscript"/>
        <sz val="11"/>
        <color indexed="8"/>
        <rFont val="Calibri"/>
        <family val="2"/>
        <scheme val="minor"/>
      </rPr>
      <t>OUT</t>
    </r>
    <r>
      <rPr>
        <i/>
        <sz val="11"/>
        <color indexed="8"/>
        <rFont val="Calibri"/>
        <family val="2"/>
        <scheme val="minor"/>
      </rPr>
      <t>)</t>
    </r>
  </si>
  <si>
    <r>
      <t>E' facoltà del gestore includere le perdite di trattamento misurate in ∑W</t>
    </r>
    <r>
      <rPr>
        <vertAlign val="subscript"/>
        <sz val="10"/>
        <rFont val="Calibri"/>
        <family val="2"/>
        <scheme val="minor"/>
      </rPr>
      <t xml:space="preserve">OUT </t>
    </r>
    <r>
      <rPr>
        <sz val="10"/>
        <rFont val="Calibri"/>
        <family val="2"/>
        <scheme val="minor"/>
      </rPr>
      <t>, non si considera (in questa sede) come trattata l'acqua sottoposta alla sola disinfezione</t>
    </r>
  </si>
  <si>
    <t>Wesp</t>
  </si>
  <si>
    <t>di cui volume di acqua esportata in adduzione e/o in distribuzione</t>
  </si>
  <si>
    <t xml:space="preserve">Volume di acqua (potabile o non potabile) prelevato dalla rete di adduzione e/o di distribuzione e ceduto a sistemi di acquedotto gestiti da altri gestori </t>
  </si>
  <si>
    <r>
      <t>WL</t>
    </r>
    <r>
      <rPr>
        <vertAlign val="subscript"/>
        <sz val="11"/>
        <color theme="1"/>
        <rFont val="Calibri"/>
        <family val="2"/>
        <scheme val="minor"/>
      </rPr>
      <t>TOT</t>
    </r>
  </si>
  <si>
    <t>Volume perso complessivamente nell’anno  nelle fasi del servizio di acquedotto gestite</t>
  </si>
  <si>
    <t>WLA1</t>
  </si>
  <si>
    <t xml:space="preserve">     di cui perdite di acqua non potabile in adduzione</t>
  </si>
  <si>
    <t>WLT2</t>
  </si>
  <si>
    <r>
      <t xml:space="preserve">     di cui perdite trattamento (se non incluse in ∑W</t>
    </r>
    <r>
      <rPr>
        <i/>
        <vertAlign val="subscript"/>
        <sz val="11"/>
        <rFont val="Calibri"/>
        <family val="2"/>
        <scheme val="minor"/>
      </rPr>
      <t>OUT</t>
    </r>
    <r>
      <rPr>
        <i/>
        <sz val="11"/>
        <rFont val="Calibri"/>
        <family val="2"/>
        <scheme val="minor"/>
      </rPr>
      <t>)</t>
    </r>
  </si>
  <si>
    <t>Non si considera (in questa sede) come trattata l'acqua sottoposta alla sola disinfezione</t>
  </si>
  <si>
    <t>WLA2</t>
  </si>
  <si>
    <t xml:space="preserve">     di cui perdite di acqua potabile in adduzione</t>
  </si>
  <si>
    <t>Si considera (in questa sede) come potabile anche l'acqua che necessita di trattamenti di sola disinfezione</t>
  </si>
  <si>
    <t>WLD</t>
  </si>
  <si>
    <t xml:space="preserve">     di cui perdite idriche totali in distribuzione</t>
  </si>
  <si>
    <t>WD5</t>
  </si>
  <si>
    <t>Acqua potabile immessa nel sistema di distribuzione (esclusa acqua esportata)</t>
  </si>
  <si>
    <t xml:space="preserve">Dato da compilare (insieme ai "di cui") se è gestito il servizio di distribuzione </t>
  </si>
  <si>
    <t>RW</t>
  </si>
  <si>
    <t>di cui consumo fatturato (distribuzione)</t>
  </si>
  <si>
    <t>Consumi autorizzati fatturati (misurati e non misurati), dato utilizzato anche per il calcolo di G3.1</t>
  </si>
  <si>
    <t>NRW</t>
  </si>
  <si>
    <t>di cui consumo non fatturato (distribuzione)</t>
  </si>
  <si>
    <t>Consumi autorizzati non fatturati e perdite idriche totali in distribuzione (WLD)</t>
  </si>
  <si>
    <t>Lp</t>
  </si>
  <si>
    <t>Lunghezza totale delle condotte di adduzione e distribuzione, escluse le derivazioni d’utenza</t>
  </si>
  <si>
    <t>km</t>
  </si>
  <si>
    <t>La</t>
  </si>
  <si>
    <t xml:space="preserve">     di cui lunghezza rete principale di adduzione (La)</t>
  </si>
  <si>
    <t>Ld</t>
  </si>
  <si>
    <t xml:space="preserve">     di cui lunghezza rete principale di distribuzione (Ld)</t>
  </si>
  <si>
    <t>M1a</t>
  </si>
  <si>
    <t>Perdite idriche lineari</t>
  </si>
  <si>
    <t>mc/km/gg</t>
  </si>
  <si>
    <t>Vedere RQTI al comma 7.2, come modificato dall'art. 10 della delibera 639/2021/R/idr (aggiornamento biennale)</t>
  </si>
  <si>
    <t>M1b</t>
  </si>
  <si>
    <t>Perdite idriche percentuali</t>
  </si>
  <si>
    <t xml:space="preserve">Vedere RQTI al comma 7.2 </t>
  </si>
  <si>
    <t>M1CL</t>
  </si>
  <si>
    <t>Perdite idriche - Classe di appartenenza</t>
  </si>
  <si>
    <t>Vedere RQTI al comma 6.3, come modificato dall'art. 10 della delibera 639/2021/R/idr (aggiornamento biennale)</t>
  </si>
  <si>
    <t>OB1</t>
  </si>
  <si>
    <t xml:space="preserve">Perdite idriche - Obiettivo </t>
  </si>
  <si>
    <t>WPem</t>
  </si>
  <si>
    <t>Volumi di processo effettivamente misurati (volumi annui derivanti da letture validate già effettuate al 31 gennaio dell'anno a+1)</t>
  </si>
  <si>
    <t xml:space="preserve">Considerare la quota parte di volume dell’anno a di riferimento, compresa tra il 1° gennaio dell’anno a e la data dell’ultima lettura valida del misuratore. La misurazione si intende valida anche se effettuata in data successiva al 31/12, ma entro il 31/1 dell'anno successivo a quello di riferimento (e.g. 31/1/2021 per il 2020). </t>
  </si>
  <si>
    <r>
      <t>WPem</t>
    </r>
    <r>
      <rPr>
        <vertAlign val="subscript"/>
        <sz val="11"/>
        <rFont val="Calibri"/>
        <family val="2"/>
        <scheme val="minor"/>
      </rPr>
      <t>tel</t>
    </r>
  </si>
  <si>
    <t xml:space="preserve">     di cui da misuratori teleletti</t>
  </si>
  <si>
    <t>Solo telelettura da remoto con trasmissione dei dati al sistema di telecontrollo (no walk by/drive by)</t>
  </si>
  <si>
    <t>WUem</t>
  </si>
  <si>
    <t>Volumi di utenza effettivamente misurati (consumi annui derivanti da letture o autoletture validate già effettuate al 31 gennaio dell'anno a+1)</t>
  </si>
  <si>
    <t xml:space="preserve">Considerare la quota parte di consumo riferita all’anno a di riferimento, compresa tra il 1° gennaio dell’anno a e la data dell’ultima lettura valida del misuratore. La misurazione si intende valida anche se effettuata in data successiva al 31/12, ma entro il 31/1 dell'anno successivo a quello di riferimento (e.g. 31/1/2021 per il 2020). </t>
  </si>
  <si>
    <r>
      <t>WUem</t>
    </r>
    <r>
      <rPr>
        <vertAlign val="subscript"/>
        <sz val="11"/>
        <rFont val="Calibri"/>
        <family val="2"/>
        <scheme val="minor"/>
      </rPr>
      <t>tel</t>
    </r>
  </si>
  <si>
    <t>G1.1</t>
  </si>
  <si>
    <t>Quota di volumi misurati sui totali</t>
  </si>
  <si>
    <t>Soppresso ai sensi della del. 609/2021/R/idr a decorrere dal 1 gennaio 2022</t>
  </si>
  <si>
    <t>Valutazione prerequisiti e indicazione istanze presentate per M2</t>
  </si>
  <si>
    <r>
      <t>Preq4</t>
    </r>
    <r>
      <rPr>
        <b/>
        <vertAlign val="subscript"/>
        <sz val="11"/>
        <color rgb="FF000000"/>
        <rFont val="Calibri"/>
        <family val="2"/>
        <scheme val="minor"/>
      </rPr>
      <t>M2</t>
    </r>
  </si>
  <si>
    <t xml:space="preserve">Indicare l'esito della validazione ai fini della valutazione della disponibilità e affidabilità dei dati per M2 (prerequisito Preq4) </t>
  </si>
  <si>
    <r>
      <t>Ist</t>
    </r>
    <r>
      <rPr>
        <vertAlign val="subscript"/>
        <sz val="11"/>
        <color rgb="FF000000"/>
        <rFont val="Calibri"/>
        <family val="2"/>
        <scheme val="minor"/>
      </rPr>
      <t>D,M2</t>
    </r>
  </si>
  <si>
    <t>Indicare se è stata formulata istanza per eventi imprevisti e imprevedibili che hanno comportato il mancato rispetto degli obiettivi per M2</t>
  </si>
  <si>
    <t>Calcolo del macro-indicatore M2</t>
  </si>
  <si>
    <t>UtT</t>
  </si>
  <si>
    <t>Numero di utenti finali serviti dal gestore per il servizio di acquedotto (esclusi utenti indiretti)</t>
  </si>
  <si>
    <t>n.</t>
  </si>
  <si>
    <t>Si intendono le sole utenze contrattualizzate.
A parità di perimetro il dato è corrispondente a quello del file RDT2022, nel foglio Dati_tecnici</t>
  </si>
  <si>
    <r>
      <t>UtT</t>
    </r>
    <r>
      <rPr>
        <vertAlign val="subscript"/>
        <sz val="11"/>
        <color indexed="8"/>
        <rFont val="Calibri"/>
        <family val="2"/>
        <scheme val="minor"/>
      </rPr>
      <t>d</t>
    </r>
  </si>
  <si>
    <t xml:space="preserve">     di cui utenze domestiche</t>
  </si>
  <si>
    <t>Come da definizioni TICSI</t>
  </si>
  <si>
    <r>
      <t>UtT</t>
    </r>
    <r>
      <rPr>
        <vertAlign val="subscript"/>
        <sz val="11"/>
        <color indexed="8"/>
        <rFont val="Calibri"/>
        <family val="2"/>
        <scheme val="minor"/>
      </rPr>
      <t>nd</t>
    </r>
  </si>
  <si>
    <t xml:space="preserve">     di cui utenze non domestiche</t>
  </si>
  <si>
    <r>
      <t>UtT</t>
    </r>
    <r>
      <rPr>
        <vertAlign val="subscript"/>
        <sz val="11"/>
        <color indexed="8"/>
        <rFont val="Calibri"/>
        <family val="2"/>
        <scheme val="minor"/>
      </rPr>
      <t>cond</t>
    </r>
  </si>
  <si>
    <t>Numero di utenze condominiali servite dal gestore per il servizio di acquedotto</t>
  </si>
  <si>
    <t>Come da definizioni RQTI</t>
  </si>
  <si>
    <r>
      <t>UtT</t>
    </r>
    <r>
      <rPr>
        <vertAlign val="subscript"/>
        <sz val="11"/>
        <color indexed="8"/>
        <rFont val="Calibri"/>
        <family val="2"/>
        <scheme val="minor"/>
      </rPr>
      <t>indr</t>
    </r>
  </si>
  <si>
    <t>Numero di utenti indiretti sottesi alle utenze condominiali servite dal gestore per il servizio di acquedotto</t>
  </si>
  <si>
    <r>
      <t>UtT</t>
    </r>
    <r>
      <rPr>
        <vertAlign val="subscript"/>
        <sz val="11"/>
        <color indexed="8"/>
        <rFont val="Calibri"/>
        <family val="2"/>
        <scheme val="minor"/>
      </rPr>
      <t>indr,d</t>
    </r>
  </si>
  <si>
    <t xml:space="preserve">       di cui utenze domestiche</t>
  </si>
  <si>
    <r>
      <t>UtT</t>
    </r>
    <r>
      <rPr>
        <vertAlign val="subscript"/>
        <sz val="11"/>
        <color indexed="8"/>
        <rFont val="Calibri"/>
        <family val="2"/>
        <scheme val="minor"/>
      </rPr>
      <t>indr,nd</t>
    </r>
  </si>
  <si>
    <t xml:space="preserve">       di cui utenze non domestiche</t>
  </si>
  <si>
    <r>
      <t>U</t>
    </r>
    <r>
      <rPr>
        <vertAlign val="subscript"/>
        <sz val="11"/>
        <color indexed="8"/>
        <rFont val="Calibri"/>
        <family val="2"/>
        <scheme val="minor"/>
      </rPr>
      <t>tot,ACQ</t>
    </r>
  </si>
  <si>
    <t>Numero complessivo di utenti finali serviti dal gestore per il servizio di acquedotto (compresi utenti indiretti)</t>
  </si>
  <si>
    <t>Dato utilizzato anche per il calcolo di M3a, G3.2 e di G5.2</t>
  </si>
  <si>
    <r>
      <t>∑U</t>
    </r>
    <r>
      <rPr>
        <vertAlign val="sub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</rPr>
      <t/>
    </r>
  </si>
  <si>
    <t>Numero complessivo di utenti finali (compresi utenti indiretti) soggetti ad interruzioni del servizio nell’anno (di durata maggiore o uguale ad 1 ora)</t>
  </si>
  <si>
    <t>Gli utenti interessati dalle interruzioni si contano tante volte quante sono le interruzioni</t>
  </si>
  <si>
    <r>
      <t>∑t</t>
    </r>
    <r>
      <rPr>
        <vertAlign val="subscript"/>
        <sz val="11"/>
        <color theme="1"/>
        <rFont val="Calibri"/>
        <family val="2"/>
        <scheme val="minor"/>
      </rPr>
      <t>I</t>
    </r>
  </si>
  <si>
    <t>Durata totale delle interruzioni avvenute nell'anno (di durata maggiore o uguale ad 1 ora)</t>
  </si>
  <si>
    <t>ore</t>
  </si>
  <si>
    <r>
      <t>∑U</t>
    </r>
    <r>
      <rPr>
        <vertAlign val="sub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</rPr>
      <t xml:space="preserve">× </t>
    </r>
    <r>
      <rPr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Calibri"/>
        <family val="2"/>
        <scheme val="minor"/>
      </rPr>
      <t>I</t>
    </r>
  </si>
  <si>
    <t>Sommatoria del prodotto delle durate delle interruzioni annue (di durata maggiore o uguale ad 1 ora), per il rispettivo numero di utenti finali soggetti all'interruzione (compresi utenti indiretti)</t>
  </si>
  <si>
    <r>
      <t>N.B.: non è il prodotto di ∑U</t>
    </r>
    <r>
      <rPr>
        <vertAlign val="subscript"/>
        <sz val="10"/>
        <rFont val="Calibri"/>
        <family val="2"/>
        <scheme val="minor"/>
      </rPr>
      <t>I</t>
    </r>
    <r>
      <rPr>
        <sz val="10"/>
        <rFont val="Calibri"/>
        <family val="2"/>
        <scheme val="minor"/>
      </rPr>
      <t xml:space="preserve"> e ∑t</t>
    </r>
    <r>
      <rPr>
        <vertAlign val="subscript"/>
        <sz val="10"/>
        <rFont val="Calibri"/>
        <family val="2"/>
        <scheme val="minor"/>
      </rPr>
      <t>I</t>
    </r>
  </si>
  <si>
    <t>M2</t>
  </si>
  <si>
    <t>Interruzioni del servizio</t>
  </si>
  <si>
    <t xml:space="preserve">Vedere RQTI al comma 9.5 </t>
  </si>
  <si>
    <t>M2CL</t>
  </si>
  <si>
    <t>Interruzioni del servizio - Classe di appartenenza</t>
  </si>
  <si>
    <t>OB2</t>
  </si>
  <si>
    <t>Interruzioni del servizio - Obiettivo (M2)</t>
  </si>
  <si>
    <r>
      <t>W</t>
    </r>
    <r>
      <rPr>
        <vertAlign val="subscript"/>
        <sz val="11"/>
        <color indexed="8"/>
        <rFont val="Calibri"/>
        <family val="2"/>
        <scheme val="minor"/>
      </rPr>
      <t>max</t>
    </r>
  </si>
  <si>
    <t xml:space="preserve">Volume massimo derivabile dal sistema delle fonti di approvvigionamento nel giorno di massimo consumo dell'anno </t>
  </si>
  <si>
    <t>mc/gg</t>
  </si>
  <si>
    <r>
      <t>W</t>
    </r>
    <r>
      <rPr>
        <vertAlign val="subscript"/>
        <sz val="11"/>
        <color indexed="8"/>
        <rFont val="Calibri"/>
        <family val="2"/>
        <scheme val="minor"/>
      </rPr>
      <t>gg</t>
    </r>
  </si>
  <si>
    <t>Volume necessario a soddisfare la domanda nel giorno di massimo consumo dell'anno</t>
  </si>
  <si>
    <t>G2.1</t>
  </si>
  <si>
    <t>Disponibilità di risorse idriche</t>
  </si>
  <si>
    <t>Vedere RQTI al comma 9.8 
(è possibile che il dato sia superiore a 100%)</t>
  </si>
  <si>
    <t>Indicazione istanze presentate per Standard Specifici</t>
  </si>
  <si>
    <r>
      <t>Ist</t>
    </r>
    <r>
      <rPr>
        <vertAlign val="subscript"/>
        <sz val="11"/>
        <color rgb="FF000000"/>
        <rFont val="Calibri"/>
        <family val="2"/>
        <scheme val="minor"/>
      </rPr>
      <t>D,Sp</t>
    </r>
  </si>
  <si>
    <t>Indicare se è stata formulata istanza per eventi imprevisti e imprevedibili che hanno comportato il mancato rispetto degli standard specifici S1 e/o S2 e/o S3</t>
  </si>
  <si>
    <t>Istanza ex-post ai sensi del comma 5.4, del. 917/2017 (riferita agli anni 2020 e/o 2021). Specificare motivazioni in relazione</t>
  </si>
  <si>
    <r>
      <t>Ist</t>
    </r>
    <r>
      <rPr>
        <vertAlign val="subscript"/>
        <sz val="11"/>
        <color rgb="FF000000"/>
        <rFont val="Calibri"/>
        <family val="2"/>
        <scheme val="minor"/>
      </rPr>
      <t>E,Sp</t>
    </r>
  </si>
  <si>
    <t>Indicare se è stata formulata istanza per compromessa continuità gestionale a causa del mancato rispetto degli standard specifici S1 e/o S2 e/o S3</t>
  </si>
  <si>
    <t>Istanza ex-post ai sensi del comma 5.2, lett. b), del. 917/2017. Specificare motivazioni in relazione</t>
  </si>
  <si>
    <t>Dati relativi agli Standard Specifici</t>
  </si>
  <si>
    <r>
      <t>Int</t>
    </r>
    <r>
      <rPr>
        <vertAlign val="subscript"/>
        <sz val="11"/>
        <color indexed="8"/>
        <rFont val="Calibri"/>
        <family val="2"/>
        <scheme val="minor"/>
      </rPr>
      <t>tot,1h</t>
    </r>
  </si>
  <si>
    <t>Numero totale delle interruzioni avvenute nell'anno (di durata maggiore o uguale ad 1 ora)</t>
  </si>
  <si>
    <r>
      <t>Int</t>
    </r>
    <r>
      <rPr>
        <vertAlign val="subscript"/>
        <sz val="11"/>
        <color indexed="8"/>
        <rFont val="Calibri"/>
        <family val="2"/>
        <scheme val="minor"/>
      </rPr>
      <t>np</t>
    </r>
  </si>
  <si>
    <t>di cui numero di interruzioni non programmate</t>
  </si>
  <si>
    <r>
      <t>Int</t>
    </r>
    <r>
      <rPr>
        <vertAlign val="subscript"/>
        <sz val="11"/>
        <color indexed="8"/>
        <rFont val="Calibri"/>
        <family val="2"/>
        <scheme val="minor"/>
      </rPr>
      <t>p</t>
    </r>
  </si>
  <si>
    <t>di cui numero di interruzioni programmate</t>
  </si>
  <si>
    <r>
      <t>Int</t>
    </r>
    <r>
      <rPr>
        <vertAlign val="subscript"/>
        <sz val="11"/>
        <color indexed="8"/>
        <rFont val="Calibri"/>
        <family val="2"/>
        <scheme val="minor"/>
      </rPr>
      <t>p,S1</t>
    </r>
  </si>
  <si>
    <t>di cui numero di interruzioni con mancato rispetto dello standard specifico S1</t>
  </si>
  <si>
    <t xml:space="preserve">Vedere RQTI al comma 3.2 </t>
  </si>
  <si>
    <r>
      <t>Int</t>
    </r>
    <r>
      <rPr>
        <vertAlign val="subscript"/>
        <sz val="11"/>
        <color indexed="8"/>
        <rFont val="Calibri"/>
        <family val="2"/>
        <scheme val="minor"/>
      </rPr>
      <t>p,S3</t>
    </r>
  </si>
  <si>
    <t>Numero di interruzioni con mancato rispetto dello standard specifico S3</t>
  </si>
  <si>
    <t xml:space="preserve">Vedere RQTI al comma 3.4 </t>
  </si>
  <si>
    <r>
      <t>Int</t>
    </r>
    <r>
      <rPr>
        <vertAlign val="subscript"/>
        <sz val="11"/>
        <color indexed="8"/>
        <rFont val="Calibri"/>
        <family val="2"/>
        <scheme val="minor"/>
      </rPr>
      <t>em</t>
    </r>
  </si>
  <si>
    <t xml:space="preserve">Numero di interruzioni con attivazione del servizio sostitutivo di emergenza </t>
  </si>
  <si>
    <r>
      <t>Int</t>
    </r>
    <r>
      <rPr>
        <vertAlign val="subscript"/>
        <sz val="11"/>
        <color indexed="8"/>
        <rFont val="Calibri"/>
        <family val="2"/>
        <scheme val="minor"/>
      </rPr>
      <t>em,S2</t>
    </r>
  </si>
  <si>
    <t xml:space="preserve">di cui numero di interruzioni con mancato rispetto dello standard specifico S2 </t>
  </si>
  <si>
    <t>Vedere RQTI al comma 3.3. Nel caso di interruzioni per le quali il servizio di emergenza, anche se dovuto, non è mai stato attivato, queste sono comunque da considerare tra le interruzioni con ritardo rispetto allo standard specifico S2</t>
  </si>
  <si>
    <r>
      <t>∑U</t>
    </r>
    <r>
      <rPr>
        <vertAlign val="subscript"/>
        <sz val="11"/>
        <color theme="1"/>
        <rFont val="Calibri"/>
        <family val="2"/>
        <scheme val="minor"/>
      </rPr>
      <t>S1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</rPr>
      <t/>
    </r>
  </si>
  <si>
    <t>Sommatoria degli utenti finali (compresi utenti indiretti) con mancato rispetto dello standard specifico S1</t>
  </si>
  <si>
    <r>
      <t xml:space="preserve">Gli utenti interessati si contano tante volte quanti sono i mancati rispetti dello standard - </t>
    </r>
    <r>
      <rPr>
        <u/>
        <sz val="10"/>
        <rFont val="Calibri"/>
        <family val="2"/>
        <scheme val="minor"/>
      </rPr>
      <t>includere anche i casi per cui il gestore non è tenuto a corrispondere l'indennizzo (motivare in relazione)</t>
    </r>
  </si>
  <si>
    <r>
      <t>∑U</t>
    </r>
    <r>
      <rPr>
        <vertAlign val="subscript"/>
        <sz val="11"/>
        <color theme="1"/>
        <rFont val="Calibri"/>
        <family val="2"/>
        <scheme val="minor"/>
      </rPr>
      <t>S2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</rPr>
      <t/>
    </r>
  </si>
  <si>
    <t>Sommatoria degli utenti finali (compresi utenti indiretti) con mancato rispetto dello standard specifico S2</t>
  </si>
  <si>
    <r>
      <t>∑U</t>
    </r>
    <r>
      <rPr>
        <vertAlign val="subscript"/>
        <sz val="11"/>
        <color theme="1"/>
        <rFont val="Calibri"/>
        <family val="2"/>
        <scheme val="minor"/>
      </rPr>
      <t>S3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</rPr>
      <t/>
    </r>
  </si>
  <si>
    <t>Sommatoria degli utenti finali (compresi utenti indiretti) con mancato rispetto dello standard specifico S3</t>
  </si>
  <si>
    <t>Valutazione prerequisiti per M3</t>
  </si>
  <si>
    <t>QA1</t>
  </si>
  <si>
    <t>Indicare se il gestore si è dotato delle procedure per l'adempimento agli obblighi di verifica della qualità dell'acqua destinata al consumo umano ai sensi del d.lgs. 31/2001 e s.m.i.</t>
  </si>
  <si>
    <t>Quesito riferito al 31 dicembre di ogni anno</t>
  </si>
  <si>
    <t>QA2</t>
  </si>
  <si>
    <t>Indicare se il gestore ha effettivamente applicato le procedure di cui al precedente alinea</t>
  </si>
  <si>
    <t>QA3</t>
  </si>
  <si>
    <t>Indicare se il gestore ha ottemperato alle disposizioni regionali eventualmente emanate in materia</t>
  </si>
  <si>
    <r>
      <t>C</t>
    </r>
    <r>
      <rPr>
        <vertAlign val="subscript"/>
        <sz val="11"/>
        <color rgb="FF000000"/>
        <rFont val="Calibri"/>
        <family val="2"/>
        <scheme val="minor"/>
      </rPr>
      <t>ACQ-min</t>
    </r>
  </si>
  <si>
    <t>Numero minimo di campioni (da controlli interni) che il gestore è tenuto a eseguire nell'anno</t>
  </si>
  <si>
    <t>Desumibile da accordi con autorità sanitaria locale o nazionale oppure da Tab. 1 All. 2 d.lgs. 31/2001</t>
  </si>
  <si>
    <r>
      <t>W</t>
    </r>
    <r>
      <rPr>
        <vertAlign val="subscript"/>
        <sz val="11"/>
        <rFont val="Calibri"/>
        <family val="2"/>
        <scheme val="minor"/>
      </rPr>
      <t>prod</t>
    </r>
  </si>
  <si>
    <t>Volume medio nell'anno di acqua distribuita o prodotta ogni giorno (di cui Tab. 1 All. II d.lgs. 31/2001) nell'anno</t>
  </si>
  <si>
    <t>Vedere Nota 2 Tab. 1 All.2 d.lgs. 31/2001</t>
  </si>
  <si>
    <r>
      <t>C</t>
    </r>
    <r>
      <rPr>
        <vertAlign val="subscript"/>
        <sz val="11"/>
        <color rgb="FF000000"/>
        <rFont val="Calibri"/>
        <family val="2"/>
        <scheme val="minor"/>
      </rPr>
      <t>ACQ-real</t>
    </r>
  </si>
  <si>
    <t xml:space="preserve">Numero campioni (da controlli interni) che il gestore ha eseguito nell'anno </t>
  </si>
  <si>
    <t>Inclusi anche i controlli a monte della distribuzione</t>
  </si>
  <si>
    <t>QA4</t>
  </si>
  <si>
    <t>Il gestore ha eseguito il numero minimo annuale di controlli interni?</t>
  </si>
  <si>
    <t>Preq2</t>
  </si>
  <si>
    <t>Il prerequisito sulla conformità alla normativa sulla qualità dell'acqua distribuita agli utenti è stato conseguito (prerequisito Preq2)?</t>
  </si>
  <si>
    <t>Vedere RQTI, Art.21 (N.B.: la valutazione del conseguimento del Preq2 va fatta anche per i soggetti che non gestiscono l'attività di distribuzione)</t>
  </si>
  <si>
    <r>
      <t>Preq4</t>
    </r>
    <r>
      <rPr>
        <b/>
        <vertAlign val="subscript"/>
        <sz val="11"/>
        <color rgb="FF000000"/>
        <rFont val="Calibri"/>
        <family val="2"/>
        <scheme val="minor"/>
      </rPr>
      <t>M3</t>
    </r>
  </si>
  <si>
    <t xml:space="preserve">Indicare l'esito della validazione ai fini della valutazione della disponibilità e affidabilità dei dati per M3 (prerequisito Preq4) </t>
  </si>
  <si>
    <r>
      <t>Ist</t>
    </r>
    <r>
      <rPr>
        <vertAlign val="subscript"/>
        <sz val="11"/>
        <color rgb="FF000000"/>
        <rFont val="Calibri"/>
        <family val="2"/>
        <scheme val="minor"/>
      </rPr>
      <t>D,M3</t>
    </r>
  </si>
  <si>
    <t>Indicare se è stata formulata istanza per eventi imprevisti e imprevedibili che hanno comportato il mancato rispetto degli obiettivi per M3</t>
  </si>
  <si>
    <t xml:space="preserve">Istanza ex-post ai sensi del comma 5.4, del. 917/2017 (riferita agli anni 2020 e/o 2021). Specificare motivazioni in relazione. </t>
  </si>
  <si>
    <t>Calcolo del macro-indicatore M3</t>
  </si>
  <si>
    <r>
      <t>Tot</t>
    </r>
    <r>
      <rPr>
        <vertAlign val="subscript"/>
        <sz val="11"/>
        <color indexed="8"/>
        <rFont val="Calibri"/>
        <family val="2"/>
        <scheme val="minor"/>
      </rPr>
      <t>ord</t>
    </r>
  </si>
  <si>
    <t>Numero di ordinanze di non potabilità avvenute nell'anno</t>
  </si>
  <si>
    <t>∑Ui</t>
  </si>
  <si>
    <r>
      <t>Numero complessivo di utenti finali interessati da ordinanze di non potabilità nell'anno</t>
    </r>
    <r>
      <rPr>
        <sz val="11"/>
        <color theme="9" tint="-0.249977111117893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(compresi utenti indiretti)</t>
    </r>
  </si>
  <si>
    <t>Gli utenti interessati dalle ordinanze si contano tante volte quante sono le ordinanze</t>
  </si>
  <si>
    <t>∑ti</t>
  </si>
  <si>
    <t>Durata totale delle ordinanze di non potabilità avvenute nell'anno</t>
  </si>
  <si>
    <t>gg</t>
  </si>
  <si>
    <t>∑(Ui*ti)</t>
  </si>
  <si>
    <t>Sommatoria del prodotto del numero di utenze soggette all'i-esima ordinanza di non potabilità (compresi utenti indiretti) per la durata della medesima ordinanza di non potabilità</t>
  </si>
  <si>
    <t>N.B.: non è il prodotto di ∑Ui e ∑ti</t>
  </si>
  <si>
    <t>M3a</t>
  </si>
  <si>
    <t>Incidenza ordinanze di non potabilità</t>
  </si>
  <si>
    <t xml:space="preserve">Vedere RQTI al comma 11.2 </t>
  </si>
  <si>
    <r>
      <t xml:space="preserve"> C</t>
    </r>
    <r>
      <rPr>
        <vertAlign val="subscript"/>
        <sz val="11"/>
        <color indexed="8"/>
        <rFont val="Calibri"/>
        <family val="2"/>
        <scheme val="minor"/>
      </rPr>
      <t>ACQ-tot</t>
    </r>
  </si>
  <si>
    <t>Numero campioni (da controlli interni) effettuati in distribuzione a valle di eventuali impianti di potabilizzazione</t>
  </si>
  <si>
    <t>Il numero di campioni non è corrispondente al numero di rapporti di prova, bensì al numero di prelievi in un fissato punto di campionamento nell'ambito della stessa giornata</t>
  </si>
  <si>
    <r>
      <t>C</t>
    </r>
    <r>
      <rPr>
        <vertAlign val="subscript"/>
        <sz val="11"/>
        <color indexed="8"/>
        <rFont val="Calibri"/>
        <family val="2"/>
        <scheme val="minor"/>
      </rPr>
      <t>ACQ-cnc</t>
    </r>
  </si>
  <si>
    <t xml:space="preserve">Numero campioni (da controlli interni) effettuati in distribuzione a valle di eventuali impianti di potabilizzazione, non conformi al d.lgs 31/2001 </t>
  </si>
  <si>
    <r>
      <t>C</t>
    </r>
    <r>
      <rPr>
        <vertAlign val="subscript"/>
        <sz val="11"/>
        <rFont val="Calibri"/>
        <family val="2"/>
        <scheme val="minor"/>
      </rPr>
      <t>ACQ-cnc-A/B</t>
    </r>
  </si>
  <si>
    <t>di cui campioni non conformi alla Parte A e/o B dell'All. 1 del d.lgs. 31/2001</t>
  </si>
  <si>
    <t>Inclusi campioni non conformi anche alla Parte C</t>
  </si>
  <si>
    <r>
      <t>C</t>
    </r>
    <r>
      <rPr>
        <vertAlign val="subscript"/>
        <sz val="11"/>
        <rFont val="Calibri"/>
        <family val="2"/>
        <scheme val="minor"/>
      </rPr>
      <t>ACQ-cnc-C</t>
    </r>
  </si>
  <si>
    <t>di cui campioni non conformi solo alla Parte C dell'All. 1 del d.lgs. 31/2001</t>
  </si>
  <si>
    <t>Esclusi campioni non conformi anche alle Parti A e/o B</t>
  </si>
  <si>
    <t>M3b</t>
  </si>
  <si>
    <t>Tasso di campioni da controlli interni non conformi</t>
  </si>
  <si>
    <t xml:space="preserve">Vedere RQTI al comma 12.2 </t>
  </si>
  <si>
    <r>
      <t xml:space="preserve"> P</t>
    </r>
    <r>
      <rPr>
        <vertAlign val="subscript"/>
        <sz val="11"/>
        <color indexed="8"/>
        <rFont val="Calibri"/>
        <family val="2"/>
        <scheme val="minor"/>
      </rPr>
      <t>ACQ-tot</t>
    </r>
  </si>
  <si>
    <t>Numero parametri analizzati nei campioni (da controlli interni) effettuati in distribuzione a valle di eventuali impianti di potabilizzazione</t>
  </si>
  <si>
    <r>
      <t>P</t>
    </r>
    <r>
      <rPr>
        <vertAlign val="subscript"/>
        <sz val="11"/>
        <rFont val="Calibri"/>
        <family val="2"/>
        <scheme val="minor"/>
      </rPr>
      <t>ACQ-pnc</t>
    </r>
  </si>
  <si>
    <t xml:space="preserve">Numero parametri non conformi al d.lgs 31/2001 nei campioni (da controlli interni) effettuati in distribuzione a valle di eventuali impianti di potabilizzazione </t>
  </si>
  <si>
    <r>
      <t>P</t>
    </r>
    <r>
      <rPr>
        <vertAlign val="subscript"/>
        <sz val="11"/>
        <rFont val="Calibri"/>
        <family val="2"/>
        <scheme val="minor"/>
      </rPr>
      <t>ACQ-pnc-A</t>
    </r>
  </si>
  <si>
    <t>di cui parametri non conformi alla Parte A dell'All. 1 del d.lgs. 31/2001</t>
  </si>
  <si>
    <t>Richiesta modificata rispetto alla precedente raccolta dati</t>
  </si>
  <si>
    <r>
      <t>P</t>
    </r>
    <r>
      <rPr>
        <vertAlign val="subscript"/>
        <sz val="11"/>
        <rFont val="Calibri"/>
        <family val="2"/>
        <scheme val="minor"/>
      </rPr>
      <t>ACQ-pnc-B</t>
    </r>
  </si>
  <si>
    <t>di cui parametri non conformi alla Parte B dell'All. 1 del d.lgs. 31/2001</t>
  </si>
  <si>
    <r>
      <t>P</t>
    </r>
    <r>
      <rPr>
        <vertAlign val="subscript"/>
        <sz val="11"/>
        <rFont val="Calibri"/>
        <family val="2"/>
        <scheme val="minor"/>
      </rPr>
      <t>ACQ-pnc-C</t>
    </r>
  </si>
  <si>
    <t>di cui parametri non conformi alla Parte C dell'All. 1 del d.lgs. 31/2001</t>
  </si>
  <si>
    <t>M3c</t>
  </si>
  <si>
    <t>Tasso di parametri da controlli interni non conformi</t>
  </si>
  <si>
    <t xml:space="preserve">Vedere RQTI al comma 13.2 </t>
  </si>
  <si>
    <t>M3CL</t>
  </si>
  <si>
    <t>Qualità dell'acqua erogata - Classe di appartenenza</t>
  </si>
  <si>
    <t>OB3</t>
  </si>
  <si>
    <t>Qualità dell'acqua erogata - Obiettivo</t>
  </si>
  <si>
    <t>G3.1</t>
  </si>
  <si>
    <t xml:space="preserve">Numero campioni (da controlli interni) effettuati in distribuzione a valle di eventuali impianti di potabilizzazione su volumi erogati </t>
  </si>
  <si>
    <t>n./1000 mc</t>
  </si>
  <si>
    <r>
      <t xml:space="preserve">Vedere RQTI al comma 10.4 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(l'unità di misura è stata modificata rispetto alla raccolta precedente)</t>
    </r>
  </si>
  <si>
    <t>WSP</t>
  </si>
  <si>
    <t>Adozione, anche in via sperimentale, del modello Water Safety Plan (WSP)</t>
  </si>
  <si>
    <t>Indicare se il gestore ha adottato, anche in modo parziale e/o solo su una porzione limitata del territorio servito, il modello Water Safety Plan</t>
  </si>
  <si>
    <r>
      <t>U</t>
    </r>
    <r>
      <rPr>
        <vertAlign val="subscript"/>
        <sz val="11"/>
        <color indexed="8"/>
        <rFont val="Calibri"/>
        <family val="2"/>
        <scheme val="minor"/>
      </rPr>
      <t>WSP_real</t>
    </r>
  </si>
  <si>
    <t>Numero di utenti serviti da sistemi di acquedotto per i quali è stato realizzato il modello Water Safety Plan (WSP - compresi utenti indiretti)</t>
  </si>
  <si>
    <t>G3.2</t>
  </si>
  <si>
    <t>Applicazione del modello Water Safety Plan (WSP)</t>
  </si>
  <si>
    <t>Vedere  RQTI al comma 10.5</t>
  </si>
  <si>
    <t>Ulteriori specificazioni per il calcolo del macro-indicatore M1 (anche ai sensi delle deliberazioni 609/2021/R/idr e 639/2021/R/idr), ai fini della valutazione di affidabilità e di diffusione delle nuove tecnologie</t>
  </si>
  <si>
    <r>
      <t>WU</t>
    </r>
    <r>
      <rPr>
        <vertAlign val="subscript"/>
        <sz val="11"/>
        <color theme="3"/>
        <rFont val="Calibri"/>
        <family val="2"/>
        <scheme val="minor"/>
      </rPr>
      <t>val</t>
    </r>
  </si>
  <si>
    <t>Somma dei volumi consumati dagli utenti finali con almeno un numero di letture validate pari agli obblighi TIMSII per i tentativi di lettura annuali</t>
  </si>
  <si>
    <t>Si intendono i volumi registrati presso gli utenti finali (esclusi utenti indiretti)</t>
  </si>
  <si>
    <r>
      <t>WU3000</t>
    </r>
    <r>
      <rPr>
        <vertAlign val="subscript"/>
        <sz val="11"/>
        <color theme="3"/>
        <rFont val="Calibri"/>
        <family val="2"/>
        <scheme val="minor"/>
      </rPr>
      <t>val</t>
    </r>
  </si>
  <si>
    <t>di cui volumi relativi agli utenti finali con consumo medio annuo fino a 3000 mc, per i quali sono disponibili almeno 2 misure validate all'anno</t>
  </si>
  <si>
    <r>
      <t>WU3000+</t>
    </r>
    <r>
      <rPr>
        <vertAlign val="subscript"/>
        <sz val="11"/>
        <color theme="3"/>
        <rFont val="Calibri"/>
        <family val="2"/>
        <scheme val="minor"/>
      </rPr>
      <t>val</t>
    </r>
  </si>
  <si>
    <t>di cui volumi relativi agli utenti finali con consumo medio annuo superiore a 3000 mc, per i quali sono disponibili almeno 3 misure validate all'anno</t>
  </si>
  <si>
    <r>
      <t>G1.1</t>
    </r>
    <r>
      <rPr>
        <b/>
        <vertAlign val="subscript"/>
        <sz val="11"/>
        <color theme="3"/>
        <rFont val="Calibri"/>
        <family val="2"/>
        <scheme val="minor"/>
      </rPr>
      <t>ut</t>
    </r>
  </si>
  <si>
    <t>Quota di volumi di utenza misurati sui totali</t>
  </si>
  <si>
    <t>Vedere RQTI al comma 6.5, punto 1.a)</t>
  </si>
  <si>
    <r>
      <t>WP</t>
    </r>
    <r>
      <rPr>
        <vertAlign val="subscript"/>
        <sz val="11"/>
        <color theme="3"/>
        <rFont val="Calibri"/>
        <family val="2"/>
        <scheme val="minor"/>
      </rPr>
      <t>val</t>
    </r>
  </si>
  <si>
    <t>Somma dei volumi di processo transitati nei punti dell’infrastruttura di acquedotto rilevanti per M1 per i quali sono disponibili almeno 12 misure validate nell’anno, ognuno preso in valore assoluto</t>
  </si>
  <si>
    <t>Nei volumi di processo sono compresi i volumi scambiati con sistemi di acquedotto gestiti da altri gestori. I punti teleletti da sala di controllo centralizzata sono considerati validati, a meno di rilevazione di misure palesemente errate o in caso di misuratore non funzionante</t>
  </si>
  <si>
    <r>
      <t>G1.1</t>
    </r>
    <r>
      <rPr>
        <b/>
        <vertAlign val="subscript"/>
        <sz val="11"/>
        <color theme="3"/>
        <rFont val="Calibri"/>
        <family val="2"/>
        <scheme val="minor"/>
      </rPr>
      <t>proc</t>
    </r>
  </si>
  <si>
    <t>Quota di volumi di processo misurati sui totali</t>
  </si>
  <si>
    <t xml:space="preserve">Vedere RQTI al comma 6.5, punto 1.b) </t>
  </si>
  <si>
    <r>
      <t>WU</t>
    </r>
    <r>
      <rPr>
        <vertAlign val="subscript"/>
        <sz val="11"/>
        <color theme="3"/>
        <rFont val="Calibri"/>
        <family val="2"/>
        <scheme val="minor"/>
      </rPr>
      <t>sm</t>
    </r>
  </si>
  <si>
    <t xml:space="preserve">Somma dei volumi consumati dagli utenti finali con misure rilevate tramite telelettura </t>
  </si>
  <si>
    <t>Telelettura di prossimità (modalità semi-smart) e telelettura da remoto (modalità smart)</t>
  </si>
  <si>
    <r>
      <t>WU</t>
    </r>
    <r>
      <rPr>
        <vertAlign val="subscript"/>
        <sz val="11"/>
        <color theme="3"/>
        <rFont val="Calibri"/>
        <family val="2"/>
        <scheme val="minor"/>
      </rPr>
      <t>sm_tel</t>
    </r>
  </si>
  <si>
    <t>di cui volumi di utenza rilevati con modalità di telelettura da remoto</t>
  </si>
  <si>
    <t>Solo telelettura in modalità smart (no walk by/drive by)</t>
  </si>
  <si>
    <r>
      <t>G1.2</t>
    </r>
    <r>
      <rPr>
        <b/>
        <vertAlign val="subscript"/>
        <sz val="11"/>
        <color theme="3"/>
        <rFont val="Calibri"/>
        <family val="2"/>
        <scheme val="minor"/>
      </rPr>
      <t>ut</t>
    </r>
  </si>
  <si>
    <t>Diffusione delle tecnologie di rilevazione delle misure d'utenza di tipo smart</t>
  </si>
  <si>
    <r>
      <t>Vedere RQTI al comma 6.5, punto 2.a)</t>
    </r>
    <r>
      <rPr>
        <strike/>
        <sz val="10"/>
        <rFont val="Calibri"/>
        <family val="2"/>
        <scheme val="minor"/>
      </rPr>
      <t xml:space="preserve"> </t>
    </r>
  </si>
  <si>
    <r>
      <t>WP</t>
    </r>
    <r>
      <rPr>
        <vertAlign val="subscript"/>
        <sz val="11"/>
        <color theme="3"/>
        <rFont val="Calibri"/>
        <family val="2"/>
        <scheme val="minor"/>
      </rPr>
      <t>sm</t>
    </r>
  </si>
  <si>
    <t xml:space="preserve">Somma dei volumi di processo con misure rilevate tramite telelettura </t>
  </si>
  <si>
    <r>
      <t>WP</t>
    </r>
    <r>
      <rPr>
        <vertAlign val="subscript"/>
        <sz val="11"/>
        <color theme="3"/>
        <rFont val="Calibri"/>
        <family val="2"/>
        <scheme val="minor"/>
      </rPr>
      <t>sm_tel</t>
    </r>
  </si>
  <si>
    <t>di cui volumi di processo rilevati con modalità di telelettura da remoto</t>
  </si>
  <si>
    <r>
      <t>G1.2</t>
    </r>
    <r>
      <rPr>
        <b/>
        <vertAlign val="subscript"/>
        <sz val="11"/>
        <color theme="3"/>
        <rFont val="Calibri"/>
        <family val="2"/>
        <scheme val="minor"/>
      </rPr>
      <t>proc</t>
    </r>
  </si>
  <si>
    <t>Diffusione delle tecnologie di rilevazione delle misure di processo di tipo smart</t>
  </si>
  <si>
    <t xml:space="preserve">Vedere RQTI al comma 6.5, punto 2.b) </t>
  </si>
  <si>
    <t>Wm,F</t>
  </si>
  <si>
    <t xml:space="preserve">Volume autorizzato, misurato e fatturato </t>
  </si>
  <si>
    <t>Si intendono misurati i volumi delle utenze dotate di misuratore</t>
  </si>
  <si>
    <t>Wnm,F</t>
  </si>
  <si>
    <t xml:space="preserve">Volume autorizzato, non misurato e fatturato </t>
  </si>
  <si>
    <t>Wm,NF</t>
  </si>
  <si>
    <t xml:space="preserve">Volume autorizzato, misurato e non fatturato </t>
  </si>
  <si>
    <t>Fornire dettagli in relazione in merito agli utilizzi dei volumi inclusi in questa voce</t>
  </si>
  <si>
    <t>Wnm,NF</t>
  </si>
  <si>
    <t xml:space="preserve">Volume autorizzato, non misurato e non fatturato </t>
  </si>
  <si>
    <t>Non adeguato</t>
  </si>
  <si>
    <t>NO</t>
  </si>
  <si>
    <t>FOG</t>
  </si>
  <si>
    <t>Il gestore gestisce il servizio di fognatura?
Se sì, specificare:</t>
  </si>
  <si>
    <t>FOG_m</t>
  </si>
  <si>
    <t>- fognatura mista</t>
  </si>
  <si>
    <t>FOG_n</t>
  </si>
  <si>
    <t>- fognatura nera</t>
  </si>
  <si>
    <t>FOG_b</t>
  </si>
  <si>
    <t>- fognatura bianca</t>
  </si>
  <si>
    <t>Se soggetta a regolazione tariffaria</t>
  </si>
  <si>
    <t>PRF</t>
  </si>
  <si>
    <t>Popolazione residente servita (PRF)</t>
  </si>
  <si>
    <t>PFF</t>
  </si>
  <si>
    <t>Popolazione fluttuante (PFF)</t>
  </si>
  <si>
    <t>ComF</t>
  </si>
  <si>
    <t>Numero di comuni serviti (ComF)</t>
  </si>
  <si>
    <t>SUF</t>
  </si>
  <si>
    <t>Superficie  (SUF)</t>
  </si>
  <si>
    <r>
      <t>EE</t>
    </r>
    <r>
      <rPr>
        <vertAlign val="subscript"/>
        <sz val="11"/>
        <color indexed="8"/>
        <rFont val="Calibri"/>
        <family val="2"/>
        <scheme val="minor"/>
      </rPr>
      <t>FOG</t>
    </r>
  </si>
  <si>
    <t>Consumo di energia elettrica per servizio di fognatura, al netto dell'energia autoprodotta</t>
  </si>
  <si>
    <t>Valutazione prerequisiti per M4</t>
  </si>
  <si>
    <r>
      <t>Agg</t>
    </r>
    <r>
      <rPr>
        <vertAlign val="subscript"/>
        <sz val="11"/>
        <rFont val="Calibri"/>
        <family val="2"/>
        <scheme val="minor"/>
      </rPr>
      <t>cond,FOG</t>
    </r>
  </si>
  <si>
    <t>Numero agglomerati oggetto di condanna per il servizio di fognatura (causa C-565/10, C-85/13, C-668/19 e successive)</t>
  </si>
  <si>
    <r>
      <t>AE</t>
    </r>
    <r>
      <rPr>
        <vertAlign val="subscript"/>
        <sz val="11"/>
        <rFont val="Calibri"/>
        <family val="2"/>
        <scheme val="minor"/>
      </rPr>
      <t>cond,FOG</t>
    </r>
  </si>
  <si>
    <t>Abitanti Equivalenti complessivi degli agglomerati oggetto di condanna per il servizio di fognatura (causa C-565/10, C-85/13, C-668/19 e successive)</t>
  </si>
  <si>
    <t>A.E.</t>
  </si>
  <si>
    <r>
      <t>Preq3</t>
    </r>
    <r>
      <rPr>
        <b/>
        <vertAlign val="subscript"/>
        <sz val="11"/>
        <color rgb="FF000000"/>
        <rFont val="Calibri"/>
        <family val="2"/>
        <scheme val="minor"/>
      </rPr>
      <t>M4</t>
    </r>
  </si>
  <si>
    <t>Relativamente al servizio di fognatura, il prerequisito sulla conformità alla normativa sulla gestione delle acque reflue è stato conseguito (prerequisito Preq3)?</t>
  </si>
  <si>
    <t>Vedere RQTI, Art.22 (la causa C-668/19 produce effetti sul meccanismo incentivante a partire dal 2022)</t>
  </si>
  <si>
    <r>
      <t>Preq4</t>
    </r>
    <r>
      <rPr>
        <b/>
        <vertAlign val="subscript"/>
        <sz val="11"/>
        <color rgb="FF000000"/>
        <rFont val="Calibri"/>
        <family val="2"/>
      </rPr>
      <t>M4</t>
    </r>
  </si>
  <si>
    <t>Indicare l'esito della validazione ai fini della valutazione della disponibilità e affidabilità dei dati  per M4 (prerequisito Preq4)</t>
  </si>
  <si>
    <r>
      <t>Ist</t>
    </r>
    <r>
      <rPr>
        <vertAlign val="subscript"/>
        <sz val="11"/>
        <color rgb="FF000000"/>
        <rFont val="Calibri"/>
        <family val="2"/>
        <scheme val="minor"/>
      </rPr>
      <t>D,M4</t>
    </r>
  </si>
  <si>
    <t>Indicare se è stata formulata istanza per eventi imprevisti e imprevedibili che hanno comportato il mancato rispetto degli obiettivi per M4</t>
  </si>
  <si>
    <t>Calcolo del macro-indicatore M4</t>
  </si>
  <si>
    <t>Lm</t>
  </si>
  <si>
    <t>Lunghezza totale della rete di fognatura mista (esclusi gli allacci)</t>
  </si>
  <si>
    <t>Lb</t>
  </si>
  <si>
    <t>Lunghezza totale della rete di fognatura bianca (esclusi gli allacci)</t>
  </si>
  <si>
    <t xml:space="preserve">Da considerare laddove ricompresa nel SII ai fini della determinazione dei corrispettivi </t>
  </si>
  <si>
    <t>Ln</t>
  </si>
  <si>
    <t>Lunghezza totale della rete di fognatura nera (esclusi gli allacci)</t>
  </si>
  <si>
    <t>Lf</t>
  </si>
  <si>
    <t>Lunghezza totale della rete fognaria principale (esclusi gli allacci)</t>
  </si>
  <si>
    <r>
      <t>All</t>
    </r>
    <r>
      <rPr>
        <vertAlign val="subscript"/>
        <sz val="11"/>
        <color theme="1"/>
        <rFont val="Calibri"/>
        <family val="2"/>
        <scheme val="minor"/>
      </rPr>
      <t>m</t>
    </r>
  </si>
  <si>
    <r>
      <rPr>
        <sz val="11"/>
        <rFont val="Calibri"/>
        <family val="2"/>
        <scheme val="minor"/>
      </rPr>
      <t>Numero di episodi di allagamento da fognatura mista che  hanno determinat</t>
    </r>
    <r>
      <rPr>
        <sz val="11"/>
        <color indexed="8"/>
        <rFont val="Calibri"/>
        <family val="2"/>
        <scheme val="minor"/>
      </rPr>
      <t>o situazioni di disagio o di pericolo</t>
    </r>
  </si>
  <si>
    <r>
      <t>All</t>
    </r>
    <r>
      <rPr>
        <vertAlign val="subscript"/>
        <sz val="11"/>
        <color theme="1"/>
        <rFont val="Calibri"/>
        <family val="2"/>
        <scheme val="minor"/>
      </rPr>
      <t>b</t>
    </r>
  </si>
  <si>
    <r>
      <rPr>
        <sz val="11"/>
        <rFont val="Calibri"/>
        <family val="2"/>
        <scheme val="minor"/>
      </rPr>
      <t>Numero di episodi di allagamento da fognatura bianca che hanno determinat</t>
    </r>
    <r>
      <rPr>
        <sz val="11"/>
        <color indexed="8"/>
        <rFont val="Calibri"/>
        <family val="2"/>
        <scheme val="minor"/>
      </rPr>
      <t>o situazioni di disagio o di pericolo</t>
    </r>
  </si>
  <si>
    <r>
      <t>Svers</t>
    </r>
    <r>
      <rPr>
        <vertAlign val="subscript"/>
        <sz val="11"/>
        <color theme="1"/>
        <rFont val="Calibri"/>
        <family val="2"/>
        <scheme val="minor"/>
      </rPr>
      <t>n</t>
    </r>
  </si>
  <si>
    <t>Numero di episodi di sversamento da fognatura nera</t>
  </si>
  <si>
    <t>M4a</t>
  </si>
  <si>
    <t>Frequenza allagamenti e/o sversamenti da fognatura</t>
  </si>
  <si>
    <t>n./100 km</t>
  </si>
  <si>
    <t>Vedere RQTI al comma 15.2</t>
  </si>
  <si>
    <r>
      <t>NScar</t>
    </r>
    <r>
      <rPr>
        <vertAlign val="subscript"/>
        <sz val="11"/>
        <color theme="1"/>
        <rFont val="Calibri"/>
        <family val="2"/>
        <scheme val="minor"/>
      </rPr>
      <t>tot</t>
    </r>
  </si>
  <si>
    <t xml:space="preserve">Numero totale di scaricatori di piena gestiti </t>
  </si>
  <si>
    <r>
      <t>Nscar</t>
    </r>
    <r>
      <rPr>
        <vertAlign val="subscript"/>
        <sz val="11"/>
        <color theme="1"/>
        <rFont val="Calibri"/>
        <family val="2"/>
        <scheme val="minor"/>
      </rPr>
      <t>norm</t>
    </r>
  </si>
  <si>
    <t>Numero di scaricatori di piena conformi alla normativa vigente</t>
  </si>
  <si>
    <r>
      <t>Nscar</t>
    </r>
    <r>
      <rPr>
        <vertAlign val="subscript"/>
        <sz val="11"/>
        <color theme="1"/>
        <rFont val="Calibri"/>
        <family val="2"/>
        <scheme val="minor"/>
      </rPr>
      <t>rich</t>
    </r>
  </si>
  <si>
    <t>Numero di scaricatori di piena richiesti dall'Autorità competente e non ancora realizzati</t>
  </si>
  <si>
    <t>M4b</t>
  </si>
  <si>
    <t>Adeguatezza normativa degli scaricatori di piena (% non adeguati)</t>
  </si>
  <si>
    <t>Vedere RQTI al comma 16.2</t>
  </si>
  <si>
    <r>
      <t>Nscar</t>
    </r>
    <r>
      <rPr>
        <vertAlign val="subscript"/>
        <sz val="11"/>
        <color theme="1"/>
        <rFont val="Calibri"/>
        <family val="2"/>
        <scheme val="minor"/>
      </rPr>
      <t>ctrl</t>
    </r>
  </si>
  <si>
    <t>Numero di scaricatori soggetti ad ispezione e/o dotati di sistemi di rilevamento automatico delle attivazioni</t>
  </si>
  <si>
    <r>
      <t>Sono da contare 1 sola volta gli scaricatori con sistemi di rilevamento ed anche soggetti a ispezione (di conseguenza, non è la somma di Nscar</t>
    </r>
    <r>
      <rPr>
        <vertAlign val="subscript"/>
        <sz val="10"/>
        <rFont val="Calibri"/>
        <family val="2"/>
        <scheme val="minor"/>
      </rPr>
      <t>isp</t>
    </r>
    <r>
      <rPr>
        <sz val="10"/>
        <rFont val="Calibri"/>
        <family val="2"/>
        <scheme val="minor"/>
      </rPr>
      <t xml:space="preserve"> ed Nscar</t>
    </r>
    <r>
      <rPr>
        <vertAlign val="subscript"/>
        <sz val="10"/>
        <rFont val="Calibri"/>
        <family val="2"/>
        <scheme val="minor"/>
      </rPr>
      <t>ril</t>
    </r>
    <r>
      <rPr>
        <sz val="10"/>
        <rFont val="Calibri"/>
        <family val="2"/>
        <scheme val="minor"/>
      </rPr>
      <t>)</t>
    </r>
  </si>
  <si>
    <r>
      <t>Nscar</t>
    </r>
    <r>
      <rPr>
        <vertAlign val="subscript"/>
        <sz val="11"/>
        <color theme="1"/>
        <rFont val="Calibri"/>
        <family val="2"/>
        <scheme val="minor"/>
      </rPr>
      <t>isp</t>
    </r>
  </si>
  <si>
    <t>Numero di scaricatori soggetti ad ispezione nell'anno</t>
  </si>
  <si>
    <t>Uno scaricatore soggetto a più ispezioni nell'anno va conteggiato una sola volta</t>
  </si>
  <si>
    <r>
      <t>Nscar</t>
    </r>
    <r>
      <rPr>
        <vertAlign val="subscript"/>
        <sz val="11"/>
        <color theme="1"/>
        <rFont val="Calibri"/>
        <family val="2"/>
        <scheme val="minor"/>
      </rPr>
      <t>ril</t>
    </r>
  </si>
  <si>
    <t>Numero di scaricatori dotati di  sistemi di rilevamento automatico delle attivazioni</t>
  </si>
  <si>
    <t>M4c</t>
  </si>
  <si>
    <t>Controllo degli scaricatori di piena (% non controllati)</t>
  </si>
  <si>
    <t>Vedere  RQTI al comma 17.2</t>
  </si>
  <si>
    <t>M4CL</t>
  </si>
  <si>
    <t>Adeguatezza del sistema fognario - Classe di appartenenza</t>
  </si>
  <si>
    <t>OB4</t>
  </si>
  <si>
    <t>Adeguatezza del sistema fognario - Obiettivo</t>
  </si>
  <si>
    <r>
      <t>Break</t>
    </r>
    <r>
      <rPr>
        <vertAlign val="subscript"/>
        <sz val="11"/>
        <color theme="1"/>
        <rFont val="Calibri"/>
        <family val="2"/>
        <scheme val="minor"/>
      </rPr>
      <t>FOG</t>
    </r>
  </si>
  <si>
    <t>Numero totale di rotture annue delle condotte di fognatura</t>
  </si>
  <si>
    <t>Esclusi gli allacci</t>
  </si>
  <si>
    <r>
      <t>L</t>
    </r>
    <r>
      <rPr>
        <vertAlign val="subscript"/>
        <sz val="11"/>
        <color theme="1"/>
        <rFont val="Calibri"/>
        <family val="2"/>
        <scheme val="minor"/>
      </rPr>
      <t>m-isp</t>
    </r>
  </si>
  <si>
    <t>Lunghezza totale della rete di fognatura mista (esclusi gli allacci) soggetta a ispezione</t>
  </si>
  <si>
    <r>
      <t>L</t>
    </r>
    <r>
      <rPr>
        <vertAlign val="subscript"/>
        <sz val="11"/>
        <color theme="1"/>
        <rFont val="Calibri"/>
        <family val="2"/>
        <scheme val="minor"/>
      </rPr>
      <t>m-visp</t>
    </r>
  </si>
  <si>
    <t>di cui soggetta a videoispezione</t>
  </si>
  <si>
    <r>
      <t>L</t>
    </r>
    <r>
      <rPr>
        <vertAlign val="subscript"/>
        <sz val="11"/>
        <color theme="1"/>
        <rFont val="Calibri"/>
        <family val="2"/>
        <scheme val="minor"/>
      </rPr>
      <t>b-isp</t>
    </r>
  </si>
  <si>
    <t xml:space="preserve">Lunghezza totale della rete di fognatura bianca (esclusi gli allacci) soggetta a ispezione </t>
  </si>
  <si>
    <r>
      <t>L</t>
    </r>
    <r>
      <rPr>
        <vertAlign val="subscript"/>
        <sz val="11"/>
        <color theme="1"/>
        <rFont val="Calibri"/>
        <family val="2"/>
        <scheme val="minor"/>
      </rPr>
      <t>b-visp</t>
    </r>
  </si>
  <si>
    <r>
      <t>L</t>
    </r>
    <r>
      <rPr>
        <vertAlign val="subscript"/>
        <sz val="11"/>
        <color theme="1"/>
        <rFont val="Calibri"/>
        <family val="2"/>
        <scheme val="minor"/>
      </rPr>
      <t>n-isp</t>
    </r>
  </si>
  <si>
    <t xml:space="preserve">Lunghezza totale della rete di fognatura nera (esclusi gli allacci) soggetta a ispezione </t>
  </si>
  <si>
    <r>
      <t>L</t>
    </r>
    <r>
      <rPr>
        <vertAlign val="subscript"/>
        <sz val="11"/>
        <color theme="1"/>
        <rFont val="Calibri"/>
        <family val="2"/>
        <scheme val="minor"/>
      </rPr>
      <t>n-visp</t>
    </r>
  </si>
  <si>
    <r>
      <t>Lf</t>
    </r>
    <r>
      <rPr>
        <b/>
        <vertAlign val="subscript"/>
        <sz val="11"/>
        <color theme="1"/>
        <rFont val="Calibri"/>
        <family val="2"/>
        <scheme val="minor"/>
      </rPr>
      <t>isp</t>
    </r>
  </si>
  <si>
    <t>Lunghezza totale della rete fognaria principale (esclusi gli allacci) soggetta ad ispezione</t>
  </si>
  <si>
    <t>G4.1</t>
  </si>
  <si>
    <t>Rotture annue di fognatura per chilometro di rete ispezionata</t>
  </si>
  <si>
    <t>Vedere RQTI al comma 14.4</t>
  </si>
  <si>
    <t>DEP</t>
  </si>
  <si>
    <t>Il gestore gestisce il servizio di depurazione?</t>
  </si>
  <si>
    <t>PRD</t>
  </si>
  <si>
    <t>Popolazione residente servita</t>
  </si>
  <si>
    <t>PFD</t>
  </si>
  <si>
    <t>Popolazione fluttuante</t>
  </si>
  <si>
    <t>ComD</t>
  </si>
  <si>
    <t>Numero di comuni serviti (ComD)</t>
  </si>
  <si>
    <t>SUD</t>
  </si>
  <si>
    <t>Superficie  (SUD)</t>
  </si>
  <si>
    <r>
      <t>Car</t>
    </r>
    <r>
      <rPr>
        <vertAlign val="subscript"/>
        <sz val="11"/>
        <color rgb="FF000000"/>
        <rFont val="Calibri"/>
        <family val="2"/>
        <scheme val="minor"/>
      </rPr>
      <t>dep</t>
    </r>
  </si>
  <si>
    <t xml:space="preserve">Totale carico inquinante collettato in rete fognaria e depurato in impianti di trattamento di acque reflue urbane incluse vasche Imhoff </t>
  </si>
  <si>
    <t>A parità di perimetro il dato è corrispondente a "Abitanti Equivalenti serviti da depurazione" del file RDT2022, nel foglio Dati_tecnici</t>
  </si>
  <si>
    <r>
      <t>Car</t>
    </r>
    <r>
      <rPr>
        <vertAlign val="subscript"/>
        <sz val="11"/>
        <color rgb="FF000000"/>
        <rFont val="Calibri"/>
        <family val="2"/>
        <scheme val="minor"/>
      </rPr>
      <t>dep,dnd</t>
    </r>
  </si>
  <si>
    <t>di cui di origine domestica o assimilabile</t>
  </si>
  <si>
    <r>
      <t>Car</t>
    </r>
    <r>
      <rPr>
        <vertAlign val="subscript"/>
        <sz val="11"/>
        <color rgb="FF000000"/>
        <rFont val="Calibri"/>
        <family val="2"/>
        <scheme val="minor"/>
      </rPr>
      <t>dep,ind</t>
    </r>
  </si>
  <si>
    <t>di cui origine industriale</t>
  </si>
  <si>
    <r>
      <t>EE</t>
    </r>
    <r>
      <rPr>
        <vertAlign val="subscript"/>
        <sz val="11"/>
        <color indexed="8"/>
        <rFont val="Calibri"/>
        <family val="2"/>
        <scheme val="minor"/>
      </rPr>
      <t>DEP</t>
    </r>
  </si>
  <si>
    <t>Consumo di energia elettrica per servizio di depurazione, al netto dell'energia autoprodotta</t>
  </si>
  <si>
    <r>
      <t>EE</t>
    </r>
    <r>
      <rPr>
        <vertAlign val="subscript"/>
        <sz val="11"/>
        <color rgb="FF000000"/>
        <rFont val="Calibri"/>
        <family val="2"/>
        <scheme val="minor"/>
      </rPr>
      <t>DEP,ess</t>
    </r>
  </si>
  <si>
    <t>di cui per sezione di essiccamento fanghi</t>
  </si>
  <si>
    <t xml:space="preserve">(Dato facoltativo) </t>
  </si>
  <si>
    <t>Valutazione prerequisiti per M5</t>
  </si>
  <si>
    <r>
      <t>Agg</t>
    </r>
    <r>
      <rPr>
        <vertAlign val="subscript"/>
        <sz val="11"/>
        <rFont val="Calibri"/>
        <family val="2"/>
        <scheme val="minor"/>
      </rPr>
      <t>cond,DEP</t>
    </r>
  </si>
  <si>
    <t>Numero agglomerati oggetto di condanna per il servizio di depurazione (causa C-565/10, C-85/13, C-668/19 e successive)</t>
  </si>
  <si>
    <r>
      <t>AE</t>
    </r>
    <r>
      <rPr>
        <vertAlign val="subscript"/>
        <sz val="11"/>
        <rFont val="Calibri"/>
        <family val="2"/>
        <scheme val="minor"/>
      </rPr>
      <t>cond,DEP</t>
    </r>
  </si>
  <si>
    <t>Abitanti Equivalenti complessivi degli agglomerati oggetto di condanna per il servizio di depurazione (causa C-565/10, C-85/13, C-668/19 e successive)</t>
  </si>
  <si>
    <r>
      <t>Preq3</t>
    </r>
    <r>
      <rPr>
        <b/>
        <vertAlign val="subscript"/>
        <sz val="11"/>
        <color rgb="FF000000"/>
        <rFont val="Calibri"/>
        <family val="2"/>
      </rPr>
      <t>M5</t>
    </r>
  </si>
  <si>
    <t>Relativamente al servizio di depurazione, il prerequisito sulla conformità alla normativa sulla gestione delle acque reflue è stato conseguito (prerequisito Preq3)?</t>
  </si>
  <si>
    <r>
      <t>Preq4</t>
    </r>
    <r>
      <rPr>
        <b/>
        <vertAlign val="subscript"/>
        <sz val="11"/>
        <color rgb="FF000000"/>
        <rFont val="Calibri"/>
        <family val="2"/>
        <scheme val="minor"/>
      </rPr>
      <t>M5</t>
    </r>
  </si>
  <si>
    <t>Indicare l'esito della validazione ai fini della valutazione della disponibilità e affidabilità dei dati per M5 (prerequisito Preq4)</t>
  </si>
  <si>
    <r>
      <t>Ist</t>
    </r>
    <r>
      <rPr>
        <vertAlign val="subscript"/>
        <sz val="11"/>
        <color rgb="FF000000"/>
        <rFont val="Calibri"/>
        <family val="2"/>
        <scheme val="minor"/>
      </rPr>
      <t>D,M5</t>
    </r>
  </si>
  <si>
    <t>Indicare se è stata formulata istanza per eventi imprevisti e imprevedibili che hanno comportato il mancato rispetto degli obiettivi per M5</t>
  </si>
  <si>
    <t>Calcolo del macro-indicatore M5</t>
  </si>
  <si>
    <r>
      <t>∑SS</t>
    </r>
    <r>
      <rPr>
        <vertAlign val="subscript"/>
        <sz val="11"/>
        <color rgb="FF000000"/>
        <rFont val="Calibri"/>
        <family val="2"/>
        <scheme val="minor"/>
      </rPr>
      <t>out,imp</t>
    </r>
  </si>
  <si>
    <r>
      <t xml:space="preserve">Quantità complessiva di fanghi di depurazione </t>
    </r>
    <r>
      <rPr>
        <sz val="11"/>
        <color theme="3"/>
        <rFont val="Calibri"/>
        <family val="2"/>
        <scheme val="minor"/>
      </rPr>
      <t>in uscita dagli impianti (in termini di sostanza secca)</t>
    </r>
  </si>
  <si>
    <t>t SS</t>
  </si>
  <si>
    <r>
      <t xml:space="preserve">Espressa in tonnelate di sostanza secca. Si specifica che, ai fini del calcolo di M5, sono da considerare </t>
    </r>
    <r>
      <rPr>
        <u/>
        <sz val="10"/>
        <rFont val="Calibri"/>
        <family val="2"/>
        <scheme val="minor"/>
      </rPr>
      <t>tutti</t>
    </r>
    <r>
      <rPr>
        <sz val="10"/>
        <rFont val="Calibri"/>
        <family val="2"/>
        <scheme val="minor"/>
      </rPr>
      <t xml:space="preserve"> gli impianti di depurazione presenti nel territorio di competenza del gestore. Non sono da considerare gli scambi interni al perimetro del gestore</t>
    </r>
  </si>
  <si>
    <r>
      <t>∑SS</t>
    </r>
    <r>
      <rPr>
        <vertAlign val="subscript"/>
        <sz val="11"/>
        <color rgb="FF000000"/>
        <rFont val="Calibri"/>
        <family val="2"/>
        <scheme val="minor"/>
      </rPr>
      <t>disc,imp</t>
    </r>
  </si>
  <si>
    <t>di cui quantità complessiva di fanghi di depurazione destinati allo smaltimento finale in discarica</t>
  </si>
  <si>
    <t>Lo  smaltimento in discarica si riferisce al destino finale dei fanghi, a valle di eventuali trattamenti biologici e/o fisico-chimici</t>
  </si>
  <si>
    <r>
      <t>∑SS</t>
    </r>
    <r>
      <rPr>
        <vertAlign val="subscript"/>
        <sz val="11"/>
        <color rgb="FF000000"/>
        <rFont val="Calibri"/>
        <family val="2"/>
        <scheme val="minor"/>
      </rPr>
      <t>rec,imp</t>
    </r>
  </si>
  <si>
    <t>di cui quantità complessiva di fanghi di depurazione destinati al riutilizzo/recupero</t>
  </si>
  <si>
    <r>
      <t>∑SS</t>
    </r>
    <r>
      <rPr>
        <vertAlign val="subscript"/>
        <sz val="11"/>
        <color rgb="FF000000"/>
        <rFont val="Calibri"/>
        <family val="2"/>
        <scheme val="minor"/>
      </rPr>
      <t>rec,imp-a</t>
    </r>
  </si>
  <si>
    <t>di cui spandimento diretto in agricoltura</t>
  </si>
  <si>
    <r>
      <t>∑SS</t>
    </r>
    <r>
      <rPr>
        <vertAlign val="subscript"/>
        <sz val="11"/>
        <color rgb="FF000000"/>
        <rFont val="Calibri"/>
        <family val="2"/>
        <scheme val="minor"/>
      </rPr>
      <t>rec,imp-c</t>
    </r>
  </si>
  <si>
    <t>di cui per produzione di compost</t>
  </si>
  <si>
    <r>
      <t>∑SS</t>
    </r>
    <r>
      <rPr>
        <vertAlign val="subscript"/>
        <sz val="11"/>
        <color rgb="FF000000"/>
        <rFont val="Calibri"/>
        <family val="2"/>
        <scheme val="minor"/>
      </rPr>
      <t>rec,imp-t</t>
    </r>
  </si>
  <si>
    <t>di cui in termovalorizzatori</t>
  </si>
  <si>
    <t>Compreso utilizzo in cementifici</t>
  </si>
  <si>
    <r>
      <t>∑SS</t>
    </r>
    <r>
      <rPr>
        <vertAlign val="subscript"/>
        <sz val="11"/>
        <rFont val="Calibri"/>
        <family val="2"/>
        <scheme val="minor"/>
      </rPr>
      <t>rec,imp-td</t>
    </r>
  </si>
  <si>
    <t xml:space="preserve">di cui mono-incenerito in impianti dedicati </t>
  </si>
  <si>
    <t>Impianti dedicati al solo incenerimento dei fanghi di depurazione</t>
  </si>
  <si>
    <r>
      <t>∑SS</t>
    </r>
    <r>
      <rPr>
        <vertAlign val="subscript"/>
        <sz val="11"/>
        <color rgb="FF000000"/>
        <rFont val="Calibri"/>
        <family val="2"/>
        <scheme val="minor"/>
      </rPr>
      <t>rec,imp-al</t>
    </r>
  </si>
  <si>
    <t>di cui altro</t>
  </si>
  <si>
    <t>Fornire dettagli in relazione</t>
  </si>
  <si>
    <r>
      <t>∑MF</t>
    </r>
    <r>
      <rPr>
        <vertAlign val="subscript"/>
        <sz val="11"/>
        <color rgb="FF000000"/>
        <rFont val="Calibri"/>
        <family val="2"/>
        <scheme val="minor"/>
      </rPr>
      <t>tq,out,imp</t>
    </r>
  </si>
  <si>
    <t xml:space="preserve">Quantità complessiva di fanghi di depurazione tal quali in uscita dagli impianti </t>
  </si>
  <si>
    <t>t</t>
  </si>
  <si>
    <r>
      <t>∑MF</t>
    </r>
    <r>
      <rPr>
        <vertAlign val="subscript"/>
        <sz val="11"/>
        <color rgb="FF000000"/>
        <rFont val="Calibri"/>
        <family val="2"/>
        <scheme val="minor"/>
      </rPr>
      <t>tq,disc,imp</t>
    </r>
  </si>
  <si>
    <t>Quantità complessiva di fanghi di depurazione tal quali destinati allo smaltimento finale in discarica</t>
  </si>
  <si>
    <r>
      <t>%SS</t>
    </r>
    <r>
      <rPr>
        <b/>
        <vertAlign val="subscript"/>
        <sz val="11"/>
        <color rgb="FF000000"/>
        <rFont val="Calibri"/>
        <family val="2"/>
        <scheme val="minor"/>
      </rPr>
      <t>tot</t>
    </r>
  </si>
  <si>
    <t>Percentuale di sostanza secca mediamente contenuta nel quantitativo di fanghi complessivamente prodotto</t>
  </si>
  <si>
    <t>M5</t>
  </si>
  <si>
    <t>Smaltimento fanghi in discarica</t>
  </si>
  <si>
    <t xml:space="preserve">Vedere RQTI al comma 18.4 </t>
  </si>
  <si>
    <t>M5CL</t>
  </si>
  <si>
    <t>Smaltimento fanghi in discarica - Classe di appartenenza</t>
  </si>
  <si>
    <t>OB5</t>
  </si>
  <si>
    <t>Smaltimento fanghi in discarica  - Obiettivo</t>
  </si>
  <si>
    <r>
      <t>Agg</t>
    </r>
    <r>
      <rPr>
        <vertAlign val="subscript"/>
        <sz val="11"/>
        <rFont val="Calibri"/>
        <family val="2"/>
        <scheme val="minor"/>
      </rPr>
      <t>tot</t>
    </r>
  </si>
  <si>
    <t>Numero agglomerati individuati nel territorio gestito</t>
  </si>
  <si>
    <r>
      <t>Agg</t>
    </r>
    <r>
      <rPr>
        <vertAlign val="subscript"/>
        <sz val="11"/>
        <rFont val="Calibri"/>
        <family val="2"/>
        <scheme val="minor"/>
      </rPr>
      <t>2000</t>
    </r>
  </si>
  <si>
    <t>di cui superiori ai 2.000 A.E.</t>
  </si>
  <si>
    <r>
      <t>Agg</t>
    </r>
    <r>
      <rPr>
        <vertAlign val="subscript"/>
        <sz val="11"/>
        <color theme="3"/>
        <rFont val="Calibri"/>
        <family val="2"/>
        <scheme val="minor"/>
      </rPr>
      <t>infr</t>
    </r>
  </si>
  <si>
    <r>
      <t xml:space="preserve">Numero agglomerati inclusi </t>
    </r>
    <r>
      <rPr>
        <sz val="11"/>
        <color theme="3"/>
        <rFont val="Calibri"/>
        <family val="2"/>
        <scheme val="minor"/>
      </rPr>
      <t>nelle procedur</t>
    </r>
    <r>
      <rPr>
        <sz val="11"/>
        <color theme="3"/>
        <rFont val="Calibri"/>
        <family val="2"/>
        <scheme val="minor"/>
      </rPr>
      <t xml:space="preserve">e di infrazione non ancora giunte a sentenza della Corte di Giustizia Europea </t>
    </r>
  </si>
  <si>
    <t>Vedere RQTI al comma 18.7. Considerare la procedura 2017/2181 ed eventuali successive</t>
  </si>
  <si>
    <r>
      <t>AE</t>
    </r>
    <r>
      <rPr>
        <vertAlign val="subscript"/>
        <sz val="11"/>
        <color theme="3"/>
        <rFont val="Calibri"/>
        <family val="2"/>
        <scheme val="minor"/>
      </rPr>
      <t>infr</t>
    </r>
  </si>
  <si>
    <r>
      <t xml:space="preserve">Abitanti Equivalenti complessivi negli agglomerati </t>
    </r>
    <r>
      <rPr>
        <sz val="11"/>
        <color theme="3"/>
        <rFont val="Calibri"/>
        <family val="2"/>
        <scheme val="minor"/>
      </rPr>
      <t>inclusi nelle procedure di infrazione</t>
    </r>
    <r>
      <rPr>
        <strike/>
        <sz val="11"/>
        <color theme="3"/>
        <rFont val="Calibri"/>
        <family val="2"/>
        <scheme val="minor"/>
      </rPr>
      <t xml:space="preserve"> </t>
    </r>
    <r>
      <rPr>
        <sz val="11"/>
        <color theme="3"/>
        <rFont val="Calibri"/>
        <family val="2"/>
        <scheme val="minor"/>
      </rPr>
      <t>non ancora giunte a sentenza della Corte di Giustizia Europea</t>
    </r>
  </si>
  <si>
    <t>G5.1</t>
  </si>
  <si>
    <r>
      <t xml:space="preserve">Assenza di agglomerati </t>
    </r>
    <r>
      <rPr>
        <b/>
        <sz val="11"/>
        <color theme="3"/>
        <rFont val="Calibri"/>
        <family val="2"/>
        <scheme val="minor"/>
      </rPr>
      <t xml:space="preserve">inclusi nelle procedure di infrazione </t>
    </r>
    <r>
      <rPr>
        <b/>
        <sz val="11"/>
        <color theme="3"/>
        <rFont val="Calibri"/>
        <family val="2"/>
        <scheme val="minor"/>
      </rPr>
      <t>non ancora giunte a sentenza della Corte di Giustizia Europea</t>
    </r>
  </si>
  <si>
    <t>Vedere RQTI al comma 18.7, come modificato dall'art. 10 della delibera 639/2021/R/idr (aggiornamento biennale)</t>
  </si>
  <si>
    <r>
      <t>UtT</t>
    </r>
    <r>
      <rPr>
        <vertAlign val="subscript"/>
        <sz val="11"/>
        <color indexed="8"/>
        <rFont val="Calibri"/>
        <family val="2"/>
        <scheme val="minor"/>
      </rPr>
      <t>DEP</t>
    </r>
  </si>
  <si>
    <t>Numero di utenti finali serviti dal gestore per il servizio di depurazione (esclusi utenti indiretti)</t>
  </si>
  <si>
    <r>
      <t>UtT</t>
    </r>
    <r>
      <rPr>
        <vertAlign val="subscript"/>
        <sz val="11"/>
        <color indexed="8"/>
        <rFont val="Calibri"/>
        <family val="2"/>
        <scheme val="minor"/>
      </rPr>
      <t>DEP,dnd</t>
    </r>
  </si>
  <si>
    <r>
      <t>UtT</t>
    </r>
    <r>
      <rPr>
        <vertAlign val="subscript"/>
        <sz val="11"/>
        <color indexed="8"/>
        <rFont val="Calibri"/>
        <family val="2"/>
        <scheme val="minor"/>
      </rPr>
      <t>DEP,ind</t>
    </r>
  </si>
  <si>
    <t>di cui di origine industriale</t>
  </si>
  <si>
    <r>
      <t>UtT</t>
    </r>
    <r>
      <rPr>
        <vertAlign val="subscript"/>
        <sz val="11"/>
        <color indexed="8"/>
        <rFont val="Calibri"/>
        <family val="2"/>
        <scheme val="minor"/>
      </rPr>
      <t>cond,DEP</t>
    </r>
  </si>
  <si>
    <t>Numero di utenze condominiali servite dal gestore per il servizio di depurazione</t>
  </si>
  <si>
    <r>
      <t>UtT</t>
    </r>
    <r>
      <rPr>
        <vertAlign val="subscript"/>
        <sz val="11"/>
        <color indexed="8"/>
        <rFont val="Calibri"/>
        <family val="2"/>
        <scheme val="minor"/>
      </rPr>
      <t>indr,DEP</t>
    </r>
  </si>
  <si>
    <t>Numero di utenti indiretti sottesi alle utenze condominiali servite dal gestore per il servizio di depurazione</t>
  </si>
  <si>
    <r>
      <t>U</t>
    </r>
    <r>
      <rPr>
        <b/>
        <vertAlign val="subscript"/>
        <sz val="11"/>
        <color rgb="FF000000"/>
        <rFont val="Calibri"/>
        <family val="2"/>
        <scheme val="minor"/>
      </rPr>
      <t>tot,DEP</t>
    </r>
  </si>
  <si>
    <t>Numero di utenti finali serviti dal gestore per il servizio di depurazione (compresi utenti indiretti)</t>
  </si>
  <si>
    <r>
      <t>Gest</t>
    </r>
    <r>
      <rPr>
        <vertAlign val="subscript"/>
        <sz val="11"/>
        <color rgb="FF000000"/>
        <rFont val="Calibri"/>
        <family val="2"/>
        <scheme val="minor"/>
      </rPr>
      <t>SII</t>
    </r>
  </si>
  <si>
    <t>Il gestore gestisce in maniera integrata i servizi di distribuzione per l'acquedotto, di fognatura e di depurazione in tutti i Comuni serviti?</t>
  </si>
  <si>
    <t xml:space="preserve">Vedere RQTI al comma 18.8 </t>
  </si>
  <si>
    <r>
      <t>N</t>
    </r>
    <r>
      <rPr>
        <vertAlign val="subscript"/>
        <sz val="11"/>
        <color rgb="FF000000"/>
        <rFont val="Calibri"/>
        <family val="2"/>
        <scheme val="minor"/>
      </rPr>
      <t>Com,SII</t>
    </r>
  </si>
  <si>
    <t>Se "prevalentemente", in quanti Comuni il servizio è integrato?</t>
  </si>
  <si>
    <t>Se  "prevalentemente", indicare il numero di utenti finali serviti dal gestore (compresi utenti indiretti) nei Comuni in cui vengono forniti entrambi i servizi seguenti:</t>
  </si>
  <si>
    <r>
      <t>U</t>
    </r>
    <r>
      <rPr>
        <vertAlign val="subscript"/>
        <sz val="11"/>
        <color rgb="FF000000"/>
        <rFont val="Calibri"/>
        <family val="2"/>
        <scheme val="minor"/>
      </rPr>
      <t>tot,dist,SII</t>
    </r>
  </si>
  <si>
    <t xml:space="preserve">      - distribuzione di acquedotto</t>
  </si>
  <si>
    <r>
      <t>U</t>
    </r>
    <r>
      <rPr>
        <vertAlign val="subscript"/>
        <sz val="11"/>
        <color rgb="FF000000"/>
        <rFont val="Calibri"/>
        <family val="2"/>
        <scheme val="minor"/>
      </rPr>
      <t>tot,DEP,SII</t>
    </r>
  </si>
  <si>
    <t xml:space="preserve">      - depurazione</t>
  </si>
  <si>
    <t>G5.2</t>
  </si>
  <si>
    <t>Copertura del servizio di depurazione rispetto all'utenza servita da acquedotto</t>
  </si>
  <si>
    <t xml:space="preserve">Vedere RQTI al comma 18.7 </t>
  </si>
  <si>
    <r>
      <t>EN</t>
    </r>
    <r>
      <rPr>
        <vertAlign val="subscript"/>
        <sz val="11"/>
        <color rgb="FF000000"/>
        <rFont val="Calibri"/>
        <family val="2"/>
        <scheme val="minor"/>
      </rPr>
      <t>DEP</t>
    </r>
  </si>
  <si>
    <t xml:space="preserve">Consumo energetico negli impianti di depurazione </t>
  </si>
  <si>
    <t>tep</t>
  </si>
  <si>
    <t>Da compilare con riferimento a tutte le fonti di energia, non solo quella elettrica</t>
  </si>
  <si>
    <r>
      <t>EN</t>
    </r>
    <r>
      <rPr>
        <vertAlign val="subscript"/>
        <sz val="11"/>
        <color rgb="FF000000"/>
        <rFont val="Calibri"/>
        <family val="2"/>
        <scheme val="minor"/>
      </rPr>
      <t>DEP,ess</t>
    </r>
  </si>
  <si>
    <r>
      <t>EN</t>
    </r>
    <r>
      <rPr>
        <vertAlign val="subscript"/>
        <sz val="11"/>
        <color rgb="FF000000"/>
        <rFont val="Calibri"/>
        <family val="2"/>
        <scheme val="minor"/>
      </rPr>
      <t>DEP,au</t>
    </r>
  </si>
  <si>
    <t>Energia autoprodotta da cogenerazione nella fase di digestione anaerobica dei fanghi</t>
  </si>
  <si>
    <t>G5.3</t>
  </si>
  <si>
    <t>Impronta di carbonio del servizio di depurazione</t>
  </si>
  <si>
    <t>t CO2,eq</t>
  </si>
  <si>
    <t>(Dato facoltativo) 
Vedere norma UNI EN ISO 14064-1</t>
  </si>
  <si>
    <t>Valutazione prerequisiti per M6</t>
  </si>
  <si>
    <r>
      <t>Preq3</t>
    </r>
    <r>
      <rPr>
        <b/>
        <vertAlign val="subscript"/>
        <sz val="11"/>
        <color rgb="FF000000"/>
        <rFont val="Calibri"/>
        <family val="2"/>
      </rPr>
      <t>M6</t>
    </r>
  </si>
  <si>
    <r>
      <t>Preq4</t>
    </r>
    <r>
      <rPr>
        <b/>
        <vertAlign val="subscript"/>
        <sz val="11"/>
        <color rgb="FF000000"/>
        <rFont val="Calibri"/>
        <family val="2"/>
        <scheme val="minor"/>
      </rPr>
      <t>M6</t>
    </r>
  </si>
  <si>
    <t>Indicare l'esito della validazione ai fini della valutazione della disponibilità e affidabilità dei dati per M6 (prerequisito Preq4)</t>
  </si>
  <si>
    <r>
      <t>Ist</t>
    </r>
    <r>
      <rPr>
        <vertAlign val="subscript"/>
        <sz val="11"/>
        <color rgb="FF000000"/>
        <rFont val="Calibri"/>
        <family val="2"/>
        <scheme val="minor"/>
      </rPr>
      <t>D,M6</t>
    </r>
  </si>
  <si>
    <t xml:space="preserve">Indicare se è stata formulata istanza per eventi imprevisti e imprevedibili che hanno comportato il mancato rispetto degli obiettivi per M6 </t>
  </si>
  <si>
    <t>Calcolo del macro-indicatore M6</t>
  </si>
  <si>
    <t>Ndep</t>
  </si>
  <si>
    <t xml:space="preserve">Numero complessivo di impianti di depurazione (incluse vasche Imhoff) </t>
  </si>
  <si>
    <r>
      <t>Ndep</t>
    </r>
    <r>
      <rPr>
        <vertAlign val="subscript"/>
        <sz val="11"/>
        <color rgb="FF000000"/>
        <rFont val="Calibri"/>
        <family val="2"/>
        <scheme val="minor"/>
      </rPr>
      <t>2000</t>
    </r>
  </si>
  <si>
    <t>di cui di potenzialità pari o superiore a 2.000 AE</t>
  </si>
  <si>
    <r>
      <t>Ndep</t>
    </r>
    <r>
      <rPr>
        <vertAlign val="subscript"/>
        <sz val="11"/>
        <color rgb="FF000000"/>
        <rFont val="Calibri"/>
        <family val="2"/>
        <scheme val="minor"/>
      </rPr>
      <t>cost</t>
    </r>
  </si>
  <si>
    <t>di cui inferiori ai 10.000 AE se recapitanti in acque costiere</t>
  </si>
  <si>
    <t>N*</t>
  </si>
  <si>
    <t>Numero complessivo di impianti di depurazione soggetti a M6</t>
  </si>
  <si>
    <r>
      <t>N.B. la differenza tra Ndep</t>
    </r>
    <r>
      <rPr>
        <vertAlign val="subscript"/>
        <sz val="10"/>
        <rFont val="Calibri"/>
        <family val="2"/>
        <scheme val="minor"/>
      </rPr>
      <t>2000</t>
    </r>
    <r>
      <rPr>
        <sz val="10"/>
        <rFont val="Calibri"/>
        <family val="2"/>
        <scheme val="minor"/>
      </rPr>
      <t xml:space="preserve"> ed Ndep</t>
    </r>
    <r>
      <rPr>
        <vertAlign val="subscript"/>
        <sz val="10"/>
        <rFont val="Calibri"/>
        <family val="2"/>
        <scheme val="minor"/>
      </rPr>
      <t xml:space="preserve">cost </t>
    </r>
    <r>
      <rPr>
        <sz val="10"/>
        <rFont val="Calibri"/>
        <family val="2"/>
        <scheme val="minor"/>
      </rPr>
      <t>rappresenta l'insieme degli impianti considerati per il calcolo di M6</t>
    </r>
  </si>
  <si>
    <r>
      <t>N*</t>
    </r>
    <r>
      <rPr>
        <vertAlign val="subscript"/>
        <sz val="11"/>
        <rFont val="Calibri"/>
        <family val="2"/>
        <scheme val="minor"/>
      </rPr>
      <t>Tab2</t>
    </r>
  </si>
  <si>
    <t>di cui tenuti al rispetto della Tabella 2 dell'Allegato 5 alla Parte Terza del D.Lgs 152/2006 (aree sensibili)</t>
  </si>
  <si>
    <t>Si intendono gli impianti di acque reflue urbane recapitanti in aree sensibili o in bacini drenanti nelle aree sensibili di potenzialità superiore ai 10.000 A.E.</t>
  </si>
  <si>
    <r>
      <t>N*</t>
    </r>
    <r>
      <rPr>
        <vertAlign val="subscript"/>
        <sz val="11"/>
        <rFont val="Calibri"/>
        <family val="2"/>
        <scheme val="minor"/>
      </rPr>
      <t>Tab4</t>
    </r>
  </si>
  <si>
    <t>di cui tenuti al rispetto della Tabella 4 dell'Allegato 5 alla Parte Terza del D.Lgs 152/2006 (scarico su suolo)</t>
  </si>
  <si>
    <t>Specificare in relazione per quali dei 5 parametri: SST, BOD5, COD, Ntot e Ptot</t>
  </si>
  <si>
    <r>
      <t>N*</t>
    </r>
    <r>
      <rPr>
        <vertAlign val="subscript"/>
        <sz val="11"/>
        <rFont val="Calibri"/>
        <family val="2"/>
        <scheme val="minor"/>
      </rPr>
      <t>Tab3</t>
    </r>
  </si>
  <si>
    <t>di cui tenuti al rispetto della Tabella 3 dell'Allegato 5 alla Parte Terza del D.Lgs 152/2006 (reflui industriali)</t>
  </si>
  <si>
    <r>
      <t>∑C</t>
    </r>
    <r>
      <rPr>
        <vertAlign val="subscript"/>
        <sz val="11"/>
        <color rgb="FF000000"/>
        <rFont val="Calibri"/>
        <family val="2"/>
        <scheme val="minor"/>
      </rPr>
      <t>imp,DEP-tot</t>
    </r>
  </si>
  <si>
    <t>Numero di campioni eseguiti dal gestore sulle acque reflue scaricate dagli impianti di depurazione con riferimento ai parametri di cui alle tabelle 1 e 2</t>
  </si>
  <si>
    <t>Si considerano solo gli impianti di potenzialità ≥ 2.000 A.E. (o 10.000 A.E. se recapitanti in acque costiere)</t>
  </si>
  <si>
    <r>
      <t>∑C</t>
    </r>
    <r>
      <rPr>
        <vertAlign val="subscript"/>
        <sz val="11"/>
        <color rgb="FF000000"/>
        <rFont val="Calibri"/>
        <family val="2"/>
        <scheme val="minor"/>
      </rPr>
      <t>imp,DEP-cnc</t>
    </r>
  </si>
  <si>
    <t>Numero di campioni eseguiti dal gestore sulle acque reflue scaricate dagli impianti di depurazione con superamento di almeno un limite per i parametri di cui alle tabelle 1 e 2, ai sensi del co.19.3 RQTI</t>
  </si>
  <si>
    <t>Vedere RQTI al comma 19.3. 
Si considerano solo gli impianti di potenzialità ≥ 2.000 A.E. (o 10.000 A.E. se recapitanti in acque costiere)</t>
  </si>
  <si>
    <r>
      <t>∑C</t>
    </r>
    <r>
      <rPr>
        <vertAlign val="subscript"/>
        <sz val="11"/>
        <color rgb="FF000000"/>
        <rFont val="Calibri"/>
        <family val="2"/>
        <scheme val="minor"/>
      </rPr>
      <t>imp,DEP-cnc,T1</t>
    </r>
  </si>
  <si>
    <t>di cui con superamento di almeno un limite solo della tabella 1</t>
  </si>
  <si>
    <t>Conteggiare tutti gli eventuali superamenti, inclusi quelli ammessi ai sensi dell'Allegato 5 alla Parte III del d.lgs. 152/2006</t>
  </si>
  <si>
    <r>
      <t>∑C</t>
    </r>
    <r>
      <rPr>
        <vertAlign val="subscript"/>
        <sz val="11"/>
        <color rgb="FF000000"/>
        <rFont val="Calibri"/>
        <family val="2"/>
        <scheme val="minor"/>
      </rPr>
      <t>imp,DEP-cnc,T2</t>
    </r>
  </si>
  <si>
    <t>di cui con superamento di almeno un limite solo della tabella 2</t>
  </si>
  <si>
    <t>Conteggiare tutti gli eventuali superamenti puntuali dei limiti previsti dalla tabella 2 per i parametri Ntot e/o Ptot. NB: non è la media annua</t>
  </si>
  <si>
    <r>
      <t>∑C</t>
    </r>
    <r>
      <rPr>
        <vertAlign val="subscript"/>
        <sz val="11"/>
        <color rgb="FF000000"/>
        <rFont val="Calibri"/>
        <family val="2"/>
        <scheme val="minor"/>
      </rPr>
      <t>imp,DEP-cnc,T1-2</t>
    </r>
  </si>
  <si>
    <t>di cui con superamento di almeno un limite in entrambe le tabelle 1 e 2</t>
  </si>
  <si>
    <t>Conteggiare tutti gli eventuali superamenti, inclusi quelli ammessi dall'Allegato 5 alla Parte III del d.lgs. 152/2006 e tutti i superamenti puntuali dei limiti previsti dalla tabella 2 per i parametri Ntot e/o Ptot</t>
  </si>
  <si>
    <r>
      <t>∑C</t>
    </r>
    <r>
      <rPr>
        <vertAlign val="subscript"/>
        <sz val="11"/>
        <color rgb="FF000000"/>
        <rFont val="Calibri"/>
        <family val="2"/>
        <scheme val="minor"/>
      </rPr>
      <t>imp,DEP-cnc,T4</t>
    </r>
  </si>
  <si>
    <t>di cui con superamento di almeno un limite della tabella 4</t>
  </si>
  <si>
    <t>M6</t>
  </si>
  <si>
    <t>Qualità dell'acqua depurata</t>
  </si>
  <si>
    <t xml:space="preserve">Vedere RQTI al comma 19.5 </t>
  </si>
  <si>
    <t>M6CL</t>
  </si>
  <si>
    <t>Qualità dell'acqua depurata - Classe di appartenenza</t>
  </si>
  <si>
    <t>OB6</t>
  </si>
  <si>
    <t>Qualità dell'acqua depurata  - Obiettivo</t>
  </si>
  <si>
    <r>
      <t>∑C</t>
    </r>
    <r>
      <rPr>
        <vertAlign val="subscript"/>
        <sz val="11"/>
        <color rgb="FF000000"/>
        <rFont val="Calibri"/>
        <family val="2"/>
        <scheme val="minor"/>
      </rPr>
      <t>imp,DEP-tot3</t>
    </r>
  </si>
  <si>
    <t>Numero di campioni eseguiti dal gestore sulle acque reflue scaricate dagli impianti di depurazione con analisi anche dei parametri di tabella 3, in aggiunta ai parametri delle tabelle 1 e 2</t>
  </si>
  <si>
    <t xml:space="preserve">Si considerano solo gli impianti di potenzialità ≥ 2.000 A.E. (o 10.000 A.E. se recapitanti in acque costiere) </t>
  </si>
  <si>
    <r>
      <t>∑C</t>
    </r>
    <r>
      <rPr>
        <vertAlign val="subscript"/>
        <sz val="11"/>
        <color rgb="FF000000"/>
        <rFont val="Calibri"/>
        <family val="2"/>
        <scheme val="minor"/>
      </rPr>
      <t>imp,DEP-cnc3</t>
    </r>
  </si>
  <si>
    <t>Numero di campioni eseguiti dal gestore sulle acque reflue scaricate dagli impianti di depurazione con superamento di almeno un limite dei parametri di cui alle tabelle 1, 2 e 3 ai sensi del co. 19.3 e del co. 19.6 RQTI</t>
  </si>
  <si>
    <t>G6.1</t>
  </si>
  <si>
    <t>Qualità dell'acqua depurata - esteso</t>
  </si>
  <si>
    <t xml:space="preserve">Vedere RQTI al comma 19.6 </t>
  </si>
  <si>
    <t>G6.2</t>
  </si>
  <si>
    <t>Numerosità dei campionamenti eseguiti</t>
  </si>
  <si>
    <r>
      <t>∑P</t>
    </r>
    <r>
      <rPr>
        <vertAlign val="subscript"/>
        <sz val="11"/>
        <color rgb="FF000000"/>
        <rFont val="Calibri"/>
        <family val="2"/>
        <scheme val="minor"/>
      </rPr>
      <t>imp,DEP-tot</t>
    </r>
  </si>
  <si>
    <t xml:space="preserve">Numero parametri analizzati nei campioni eseguiti dal gestore sulle acque reflue scaricate dagli impianti di depurazione con riferimento alle tabelle 1, 2, 3, ovvero a tabella 4 </t>
  </si>
  <si>
    <r>
      <t>∑P</t>
    </r>
    <r>
      <rPr>
        <vertAlign val="subscript"/>
        <sz val="11"/>
        <color rgb="FF000000"/>
        <rFont val="Calibri"/>
        <family val="2"/>
        <scheme val="minor"/>
      </rPr>
      <t>imp,DEP-pnc</t>
    </r>
  </si>
  <si>
    <t>Numero parametri con superamento dei limiti di tabelle 1, 2 e 3, ovvero di tabella 4,  nei campioni eseguiti dal gestore sulle acque reflue scaricate dagli impianti di depurazione</t>
  </si>
  <si>
    <t>G6.3</t>
  </si>
  <si>
    <t>Tasso di parametri risultati oltre i limiti</t>
  </si>
  <si>
    <t xml:space="preserve">Vedere RQTI al comma 19.7 </t>
  </si>
  <si>
    <t>Prevalentemente</t>
  </si>
  <si>
    <r>
      <t xml:space="preserve">Altri dati di qualità tecnica 
</t>
    </r>
    <r>
      <rPr>
        <sz val="12"/>
        <color theme="3"/>
        <rFont val="Calibri"/>
        <family val="2"/>
        <scheme val="minor"/>
      </rPr>
      <t xml:space="preserve">Tutti i valori imputati sono intesi essere valori 
consuntivi </t>
    </r>
  </si>
  <si>
    <t>ACQUEDOTTO - Dati relativi agli indennizzi per mancato rispetto degli Standard Specifici</t>
  </si>
  <si>
    <r>
      <t>∑U</t>
    </r>
    <r>
      <rPr>
        <vertAlign val="subscript"/>
        <sz val="11"/>
        <rFont val="Calibri"/>
        <family val="2"/>
        <scheme val="minor"/>
      </rPr>
      <t>S1ind</t>
    </r>
    <r>
      <rPr>
        <sz val="11"/>
        <rFont val="Calibri"/>
        <family val="2"/>
        <scheme val="minor"/>
      </rPr>
      <t xml:space="preserve"> </t>
    </r>
  </si>
  <si>
    <t>Sommatoria degli utenti finali (compresi utenti indiretti) con diritto all'indennizzo automatico per S1</t>
  </si>
  <si>
    <t xml:space="preserve">Gli utenti interessati si contano tante volte quanti sono i mancati rispetti dello standard con diritto all'indennizzo automatico </t>
  </si>
  <si>
    <r>
      <t>∑U</t>
    </r>
    <r>
      <rPr>
        <vertAlign val="subscript"/>
        <sz val="11"/>
        <rFont val="Calibri"/>
        <family val="2"/>
        <scheme val="minor"/>
      </rPr>
      <t>S2ind</t>
    </r>
    <r>
      <rPr>
        <sz val="11"/>
        <rFont val="Calibri"/>
        <family val="2"/>
        <scheme val="minor"/>
      </rPr>
      <t xml:space="preserve"> </t>
    </r>
  </si>
  <si>
    <t>Sommatoria degli utenti finali (compresi utenti indiretti) con diritto all'indennizzo automatico per S2</t>
  </si>
  <si>
    <r>
      <t>∑U</t>
    </r>
    <r>
      <rPr>
        <vertAlign val="subscript"/>
        <sz val="11"/>
        <rFont val="Calibri"/>
        <family val="2"/>
        <scheme val="minor"/>
      </rPr>
      <t>S3ind</t>
    </r>
    <r>
      <rPr>
        <sz val="11"/>
        <rFont val="Calibri"/>
        <family val="2"/>
        <scheme val="minor"/>
      </rPr>
      <t xml:space="preserve"> </t>
    </r>
  </si>
  <si>
    <t>Sommatoria degli utenti finali (compresi utenti indiretti) con diritto all'indennizzo automatico per S3</t>
  </si>
  <si>
    <r>
      <t>Ind</t>
    </r>
    <r>
      <rPr>
        <vertAlign val="subscript"/>
        <sz val="11"/>
        <rFont val="Calibri"/>
        <family val="2"/>
        <scheme val="minor"/>
      </rPr>
      <t>C</t>
    </r>
  </si>
  <si>
    <t>Ammontare complessivo degli indennizzi erogato agli utenti finali (inclusi utenti indiretti) interessati da mancato rispetto degli standard specifici di qualità tecnica</t>
  </si>
  <si>
    <t>€</t>
  </si>
  <si>
    <t>Quesito riferito all'intervallo temporale dal 1 gennaio al 31 dicembre di ogni anno</t>
  </si>
  <si>
    <r>
      <t>Ind</t>
    </r>
    <r>
      <rPr>
        <vertAlign val="subscript"/>
        <sz val="11"/>
        <rFont val="Calibri"/>
        <family val="2"/>
        <scheme val="minor"/>
      </rPr>
      <t>NC</t>
    </r>
  </si>
  <si>
    <t>Ammontare complessivo degli indennizzi non ancora corrisposto agli utenti finali (inclusi utenti indiretti) interessati da mancato rispetto degli standard specifici di qualità tecnica</t>
  </si>
  <si>
    <t>S_plus</t>
  </si>
  <si>
    <t>Indicare se nella Carta dei Servizi in vigore è garantito uno standard migliorativo per gli standard specifici S1 e/o S2 e/o S3</t>
  </si>
  <si>
    <t>Eventualmente specificare in relazione</t>
  </si>
  <si>
    <t>ACQUEDOTTO - Dati sulla misura di utenza, inclusi obblighi di cui all'art. 15 dell'Allegato A alla del. 218/2016/R/idr (TIMSII)</t>
  </si>
  <si>
    <t>UtTmis</t>
  </si>
  <si>
    <t>Numero di utenze finali dotate di misuratore (esclusi utenti indiretti)</t>
  </si>
  <si>
    <t>Vedere TIMSII, comma 15.1</t>
  </si>
  <si>
    <t>UtTmis_acc</t>
  </si>
  <si>
    <t>di cui con misuratori accessibili</t>
  </si>
  <si>
    <t>UtTmis_pacc</t>
  </si>
  <si>
    <t>di cui con misuratori parzialmente accessibili</t>
  </si>
  <si>
    <t>UtTmis_nacc</t>
  </si>
  <si>
    <t>di cui con misuratori non accessibili</t>
  </si>
  <si>
    <t>UtTmis_sm</t>
  </si>
  <si>
    <t>Numero di utenze finali dotate di misuratori rilevabili tramite telelettura (esclusi utenti indiretti)</t>
  </si>
  <si>
    <t>Indicare le utenze finali per le quali è già attivo il servizio di lettura da remoto (inclusi sistemi walk by/drive by), anche in via sperimentale</t>
  </si>
  <si>
    <r>
      <t>UtTmis_sm</t>
    </r>
    <r>
      <rPr>
        <vertAlign val="subscript"/>
        <sz val="11"/>
        <rFont val="Calibri"/>
        <family val="2"/>
        <scheme val="minor"/>
      </rPr>
      <t>tel</t>
    </r>
  </si>
  <si>
    <t xml:space="preserve">     di cui con misuratore teleletto da remoto</t>
  </si>
  <si>
    <t>UtTbt</t>
  </si>
  <si>
    <t>Numero di utenze finali con dispositivi a bocca tarata (esclusi utenti indiretti)</t>
  </si>
  <si>
    <t>UtTmis_3000</t>
  </si>
  <si>
    <t>di cui con consumi medi annui fino a 3.000 mc (2 tentativi minimi)</t>
  </si>
  <si>
    <t>UtTmis_3000+</t>
  </si>
  <si>
    <t>di cui con consumi medi annui superiori a 3.000 mc (3 tentativi minimi)</t>
  </si>
  <si>
    <t>Racc3000</t>
  </si>
  <si>
    <t>Numero di tentativi di raccolta delle misure per utenti finali con consumi medi annui fino a 3.000 mc (totale)</t>
  </si>
  <si>
    <t>Vedere TIMSII, comma 15.1. Non è la somma dei "di cui" sottostanti</t>
  </si>
  <si>
    <t>Racc3000_eff</t>
  </si>
  <si>
    <t>di cui andati a buon fine</t>
  </si>
  <si>
    <t>Racc3000_val</t>
  </si>
  <si>
    <t>di cui con misura validata</t>
  </si>
  <si>
    <t>Al3000</t>
  </si>
  <si>
    <t>Numero di autoletture dei misuratori di utenza prese in carico per utenti finali con consumi medi annui fino a 3.000 mc (totale)</t>
  </si>
  <si>
    <t>Al3000_val</t>
  </si>
  <si>
    <t>Racc3000+</t>
  </si>
  <si>
    <t>Numero di tentativi di raccolta delle misure per utenti finali con consumi medi annui superiori a 3.000 mc</t>
  </si>
  <si>
    <t>Racc3000+_eff</t>
  </si>
  <si>
    <t>Racc3000+_val</t>
  </si>
  <si>
    <t>Al3000+</t>
  </si>
  <si>
    <t>Numero di autoletture dei misuratori di utenza prese in carico per utenti finali con consumi medi annui superiori a 3.000 mc</t>
  </si>
  <si>
    <t>Al3000+_val</t>
  </si>
  <si>
    <t>Misut</t>
  </si>
  <si>
    <t>Numero di misuratori di utenza</t>
  </si>
  <si>
    <t>Si intendono i misuratori dei volumi installati presso gli utenti finali (esclusi utenti indiretti)</t>
  </si>
  <si>
    <t>Misut,5</t>
  </si>
  <si>
    <t>di cui con età ≤ 5 anni</t>
  </si>
  <si>
    <t>Misut,5-10</t>
  </si>
  <si>
    <t xml:space="preserve">di cui con età 6-10 anni </t>
  </si>
  <si>
    <t>Misut,10-15</t>
  </si>
  <si>
    <t>di cui con età 11-15 anni</t>
  </si>
  <si>
    <t>Misut,15</t>
  </si>
  <si>
    <t>di cui con età &gt; 15 anni</t>
  </si>
  <si>
    <t>Misut,10m</t>
  </si>
  <si>
    <t>di cui con età &gt; 10 anni meccanici</t>
  </si>
  <si>
    <t>Misut,13sv</t>
  </si>
  <si>
    <t>di cui con età &gt; 13 anni statici e venturimetrici</t>
  </si>
  <si>
    <t xml:space="preserve">ACQUEDOTTO - Ulteriori dati </t>
  </si>
  <si>
    <t>Nf</t>
  </si>
  <si>
    <t>Numero fonti di approvvigionamento di acqua destinata al consumo umano</t>
  </si>
  <si>
    <t>Inteso come numero di punti di prelievo ed escluse le importazioni di acqua da altri gestori/grossisti</t>
  </si>
  <si>
    <t>Npot</t>
  </si>
  <si>
    <t>Numero impianti di potabilizzazione delle acque  (esclusa semplice disinfezione)</t>
  </si>
  <si>
    <t>Esclusi i sistemi di dosaggio di disinfettanti in rete</t>
  </si>
  <si>
    <t>Volume di acqua prelevato dall'ambiente</t>
  </si>
  <si>
    <r>
      <t>WAM</t>
    </r>
    <r>
      <rPr>
        <vertAlign val="subscript"/>
        <sz val="11"/>
        <rFont val="Calibri"/>
        <family val="2"/>
        <scheme val="minor"/>
      </rPr>
      <t>s</t>
    </r>
  </si>
  <si>
    <t>di cui da sorgenti</t>
  </si>
  <si>
    <r>
      <t>WAM</t>
    </r>
    <r>
      <rPr>
        <vertAlign val="subscript"/>
        <sz val="11"/>
        <rFont val="Calibri"/>
        <family val="2"/>
        <scheme val="minor"/>
      </rPr>
      <t>p</t>
    </r>
  </si>
  <si>
    <t>di cui da pozzi</t>
  </si>
  <si>
    <r>
      <t>WAM</t>
    </r>
    <r>
      <rPr>
        <vertAlign val="subscript"/>
        <sz val="11"/>
        <rFont val="Calibri"/>
        <family val="2"/>
        <scheme val="minor"/>
      </rPr>
      <t>c</t>
    </r>
  </si>
  <si>
    <t>di cui da corsi d'acqua, laghi, bacini artificiali</t>
  </si>
  <si>
    <r>
      <t>WAM</t>
    </r>
    <r>
      <rPr>
        <vertAlign val="subscript"/>
        <sz val="11"/>
        <rFont val="Calibri"/>
        <family val="2"/>
        <scheme val="minor"/>
      </rPr>
      <t>m</t>
    </r>
  </si>
  <si>
    <t>di cui da acque marine o salmastre</t>
  </si>
  <si>
    <t>WA6</t>
  </si>
  <si>
    <t>Volumi in ingresso al trattamento di potabilizzazione (esclusa semplice disinfezione)</t>
  </si>
  <si>
    <t>Volume di acqua (prelevata dall’ambiente o importata) immesso negli impianti di potabilizzazione, è esclusa l’acqua sottoposta alla sola disinfezione</t>
  </si>
  <si>
    <r>
      <t>WA6</t>
    </r>
    <r>
      <rPr>
        <vertAlign val="subscript"/>
        <sz val="11"/>
        <rFont val="Calibri"/>
        <family val="2"/>
        <scheme val="minor"/>
      </rPr>
      <t>A</t>
    </r>
  </si>
  <si>
    <t>di cui sottoposta a trattamento fisico semplice</t>
  </si>
  <si>
    <t>Comprende, ad esempio, stacciatura, sedimentazione, filtrazione</t>
  </si>
  <si>
    <r>
      <t>WA6</t>
    </r>
    <r>
      <rPr>
        <vertAlign val="subscript"/>
        <sz val="11"/>
        <rFont val="Calibri"/>
        <family val="2"/>
        <scheme val="minor"/>
      </rPr>
      <t>B</t>
    </r>
  </si>
  <si>
    <t>di cui sottoposta a trattamento fisico e chimico normale</t>
  </si>
  <si>
    <t>Comprende, ad esempio, coagulazione e flocculazione (sono da escludere i volumi inseriti nella riga precedente)</t>
  </si>
  <si>
    <r>
      <t>WA6</t>
    </r>
    <r>
      <rPr>
        <vertAlign val="subscript"/>
        <sz val="11"/>
        <rFont val="Calibri"/>
        <family val="2"/>
        <scheme val="minor"/>
      </rPr>
      <t>C</t>
    </r>
  </si>
  <si>
    <t>di cui sottoposta a trattamento fisico e chimico spinto e/o affinamento</t>
  </si>
  <si>
    <t>Comprende, ad esempio, ozonazione, adsorbimento, filtrazione su membrana, osmosi inversa (sono da escludere i volumi inseriti nelle righe precedenti)</t>
  </si>
  <si>
    <r>
      <t>UtT</t>
    </r>
    <r>
      <rPr>
        <vertAlign val="subscript"/>
        <sz val="11"/>
        <rFont val="Calibri"/>
        <family val="2"/>
        <scheme val="minor"/>
      </rPr>
      <t>nf</t>
    </r>
  </si>
  <si>
    <t>Numero di utenti finali serviti per il servizio di acquedotto, ma non allacciati alla fognatura (esclusi utenti indiretti)</t>
  </si>
  <si>
    <t>Si intendono gli utenti finali del servizio di acquedotto per cui non viene fatturato il servizio di fognatura; gli utenti sono da considerarsi serviti da fognatura anche nel caso in cui la stessa sia gestita separatamente da un altro gestore (rif. art. 156 del D.lgs 152/2006)</t>
  </si>
  <si>
    <r>
      <t>N</t>
    </r>
    <r>
      <rPr>
        <vertAlign val="subscript"/>
        <sz val="11"/>
        <rFont val="Calibri"/>
        <family val="2"/>
        <scheme val="minor"/>
      </rPr>
      <t>all,ACQ</t>
    </r>
  </si>
  <si>
    <t>Numero di prese di utenza</t>
  </si>
  <si>
    <t>Lall</t>
  </si>
  <si>
    <t>Lunghezza totale allacci</t>
  </si>
  <si>
    <t>Indicare lo sviluppo lineare totale delle condotte di allaccio, ovvero la somma delle lunghezze di tutte le condotte dallo stacco dalla rete principale al punto di consegna dell'acquedotto</t>
  </si>
  <si>
    <r>
      <t>Lall</t>
    </r>
    <r>
      <rPr>
        <vertAlign val="subscript"/>
        <sz val="11"/>
        <rFont val="Calibri"/>
        <family val="2"/>
        <scheme val="minor"/>
      </rPr>
      <t>stima</t>
    </r>
  </si>
  <si>
    <t>di cui lunghezza rilevata con georeferenziazione parziale</t>
  </si>
  <si>
    <t>Indicare lo sviluppo lineare delle condotte di allaccio parzialmente georeferenziate (la previsione di cui al comma 7.3 RQTI è compilabile alla successiva Sezione "Ulteriori specificazioni (anche ai sensi della delibera 609/2021/R/idr e della delibera 639/2021/R/idr)")</t>
  </si>
  <si>
    <r>
      <t>Lp</t>
    </r>
    <r>
      <rPr>
        <vertAlign val="subscript"/>
        <sz val="11"/>
        <rFont val="Calibri"/>
        <family val="2"/>
        <scheme val="minor"/>
      </rPr>
      <t>10</t>
    </r>
  </si>
  <si>
    <t>di cui con età di posa ≤ 10 anni</t>
  </si>
  <si>
    <r>
      <t>Lp</t>
    </r>
    <r>
      <rPr>
        <vertAlign val="subscript"/>
        <sz val="11"/>
        <rFont val="Calibri"/>
        <family val="2"/>
        <scheme val="minor"/>
      </rPr>
      <t>11-30</t>
    </r>
  </si>
  <si>
    <t>di cui con età di posa 11-30 anni</t>
  </si>
  <si>
    <r>
      <t>Lp</t>
    </r>
    <r>
      <rPr>
        <vertAlign val="subscript"/>
        <sz val="11"/>
        <rFont val="Calibri"/>
        <family val="2"/>
        <scheme val="minor"/>
      </rPr>
      <t>31-40</t>
    </r>
  </si>
  <si>
    <t>di cui con età di posa 31-40 anni</t>
  </si>
  <si>
    <r>
      <t>Lp</t>
    </r>
    <r>
      <rPr>
        <vertAlign val="subscript"/>
        <sz val="11"/>
        <rFont val="Calibri"/>
        <family val="2"/>
        <scheme val="minor"/>
      </rPr>
      <t>41-50</t>
    </r>
  </si>
  <si>
    <t>di cui con età di posa 41-50 anni</t>
  </si>
  <si>
    <r>
      <t>Lp</t>
    </r>
    <r>
      <rPr>
        <vertAlign val="subscript"/>
        <sz val="11"/>
        <rFont val="Calibri"/>
        <family val="2"/>
        <scheme val="minor"/>
      </rPr>
      <t>50</t>
    </r>
  </si>
  <si>
    <t>di cui con età di posa &gt; 50 anni</t>
  </si>
  <si>
    <r>
      <t>Lp</t>
    </r>
    <r>
      <rPr>
        <vertAlign val="subscript"/>
        <sz val="11"/>
        <rFont val="Calibri"/>
        <family val="2"/>
        <scheme val="minor"/>
      </rPr>
      <t>NN</t>
    </r>
  </si>
  <si>
    <t>di cui con età di posa non nota</t>
  </si>
  <si>
    <t>Dato calcolato per differenza dai precedenti</t>
  </si>
  <si>
    <r>
      <t>Lp</t>
    </r>
    <r>
      <rPr>
        <vertAlign val="subscript"/>
        <sz val="11"/>
        <rFont val="Calibri"/>
        <family val="2"/>
        <scheme val="minor"/>
      </rPr>
      <t>geo</t>
    </r>
  </si>
  <si>
    <t>Lunghezza rete principale di adduzione e di distribuzione georeferenziata</t>
  </si>
  <si>
    <t xml:space="preserve">Escluse le derivazioni d’utenza </t>
  </si>
  <si>
    <r>
      <t>Lp</t>
    </r>
    <r>
      <rPr>
        <vertAlign val="subscript"/>
        <sz val="11"/>
        <rFont val="Calibri"/>
        <family val="2"/>
        <scheme val="minor"/>
      </rPr>
      <t>rp</t>
    </r>
  </si>
  <si>
    <t>Lunghezza rete sottoposta a ricerca perdite con tecniche acustiche o tecniche/tecnologie differenti aventi il medesimo scopo</t>
  </si>
  <si>
    <r>
      <t xml:space="preserve">Solo la rete principale di adduzione e distribuzione, </t>
    </r>
    <r>
      <rPr>
        <sz val="10"/>
        <rFont val="Calibri"/>
        <family val="2"/>
      </rPr>
      <t>escluse le derivazioni d’utenza</t>
    </r>
  </si>
  <si>
    <r>
      <t>Ld</t>
    </r>
    <r>
      <rPr>
        <vertAlign val="subscript"/>
        <sz val="11"/>
        <rFont val="Calibri"/>
        <family val="2"/>
        <scheme val="minor"/>
      </rPr>
      <t>dt</t>
    </r>
  </si>
  <si>
    <t>Estensione rete distrettualizzata telecontrollata</t>
  </si>
  <si>
    <t>Solo rete principale di distribuzione, escluse le derivazioni d’utenza. Da considerare solo i distretti permanenti</t>
  </si>
  <si>
    <r>
      <t>Lp</t>
    </r>
    <r>
      <rPr>
        <vertAlign val="subscript"/>
        <sz val="11"/>
        <rFont val="Calibri"/>
        <family val="2"/>
        <scheme val="minor"/>
      </rPr>
      <t>sos</t>
    </r>
  </si>
  <si>
    <t>Lunghezza complessiva condotte sostituite, incluse condotte sostituite o risanate con tecniche senza scavo</t>
  </si>
  <si>
    <t>Solo la rete principale di adduzione e distribuzione, escluse le derivazioni d’utenza</t>
  </si>
  <si>
    <r>
      <t>Break</t>
    </r>
    <r>
      <rPr>
        <vertAlign val="subscript"/>
        <sz val="11"/>
        <rFont val="Calibri"/>
        <family val="2"/>
        <scheme val="minor"/>
      </rPr>
      <t>ACQ</t>
    </r>
  </si>
  <si>
    <t>Numero di rotture annue sulla rete di distribuzione principale</t>
  </si>
  <si>
    <t>FOGNATURA - Ulteriori dati</t>
  </si>
  <si>
    <r>
      <t>Lf</t>
    </r>
    <r>
      <rPr>
        <vertAlign val="subscript"/>
        <sz val="11"/>
        <rFont val="Calibri"/>
        <family val="2"/>
        <scheme val="minor"/>
      </rPr>
      <t>10</t>
    </r>
  </si>
  <si>
    <r>
      <t>Lf</t>
    </r>
    <r>
      <rPr>
        <vertAlign val="subscript"/>
        <sz val="11"/>
        <rFont val="Calibri"/>
        <family val="2"/>
        <scheme val="minor"/>
      </rPr>
      <t>11-30</t>
    </r>
  </si>
  <si>
    <r>
      <t>Lf</t>
    </r>
    <r>
      <rPr>
        <vertAlign val="subscript"/>
        <sz val="11"/>
        <rFont val="Calibri"/>
        <family val="2"/>
        <scheme val="minor"/>
      </rPr>
      <t>31-40</t>
    </r>
  </si>
  <si>
    <r>
      <t>Lf</t>
    </r>
    <r>
      <rPr>
        <vertAlign val="subscript"/>
        <sz val="11"/>
        <rFont val="Calibri"/>
        <family val="2"/>
        <scheme val="minor"/>
      </rPr>
      <t>41-50</t>
    </r>
  </si>
  <si>
    <r>
      <t>Lf</t>
    </r>
    <r>
      <rPr>
        <vertAlign val="subscript"/>
        <sz val="11"/>
        <rFont val="Calibri"/>
        <family val="2"/>
        <scheme val="minor"/>
      </rPr>
      <t>50</t>
    </r>
  </si>
  <si>
    <r>
      <t>Lf</t>
    </r>
    <r>
      <rPr>
        <vertAlign val="subscript"/>
        <sz val="11"/>
        <rFont val="Calibri"/>
        <family val="2"/>
        <scheme val="minor"/>
      </rPr>
      <t>NN</t>
    </r>
  </si>
  <si>
    <r>
      <t>N</t>
    </r>
    <r>
      <rPr>
        <vertAlign val="subscript"/>
        <sz val="11"/>
        <color theme="1"/>
        <rFont val="Calibri"/>
        <family val="2"/>
        <scheme val="minor"/>
      </rPr>
      <t>all,FOG</t>
    </r>
  </si>
  <si>
    <t>Numero di allacciamenti alla rete fognaria</t>
  </si>
  <si>
    <t>Lf,sos</t>
  </si>
  <si>
    <t>Lf,geo</t>
  </si>
  <si>
    <t>Lunghezza rete fognaria georeferenziata</t>
  </si>
  <si>
    <r>
      <t>UtT</t>
    </r>
    <r>
      <rPr>
        <vertAlign val="subscript"/>
        <sz val="11"/>
        <color indexed="8"/>
        <rFont val="Calibri"/>
        <family val="2"/>
        <scheme val="minor"/>
      </rPr>
      <t>FOG</t>
    </r>
  </si>
  <si>
    <t>Numero di utenti finali serviti dal gestore per il servizio di fognatura (esclusi utenti indiretti)</t>
  </si>
  <si>
    <r>
      <t>UtT</t>
    </r>
    <r>
      <rPr>
        <vertAlign val="subscript"/>
        <sz val="11"/>
        <color indexed="8"/>
        <rFont val="Calibri"/>
        <family val="2"/>
        <scheme val="minor"/>
      </rPr>
      <t>FOG,dnd</t>
    </r>
  </si>
  <si>
    <t xml:space="preserve">        di cui utenze domestiche e non domestiche assimilabili</t>
  </si>
  <si>
    <r>
      <t>UtT</t>
    </r>
    <r>
      <rPr>
        <vertAlign val="subscript"/>
        <sz val="11"/>
        <color indexed="8"/>
        <rFont val="Calibri"/>
        <family val="2"/>
        <scheme val="minor"/>
      </rPr>
      <t>FOG,ind</t>
    </r>
  </si>
  <si>
    <t xml:space="preserve">        di cui utenze industriali</t>
  </si>
  <si>
    <t>Come da definizioni TICSI. Non è la somma dei "di cui" sottostanti</t>
  </si>
  <si>
    <r>
      <t>UtT</t>
    </r>
    <r>
      <rPr>
        <vertAlign val="subscript"/>
        <sz val="11"/>
        <color indexed="8"/>
        <rFont val="Calibri"/>
        <family val="2"/>
        <scheme val="minor"/>
      </rPr>
      <t>FOG,ind,m</t>
    </r>
  </si>
  <si>
    <t>di cui dotate di misuratore di portata</t>
  </si>
  <si>
    <r>
      <t>UtT</t>
    </r>
    <r>
      <rPr>
        <vertAlign val="subscript"/>
        <sz val="11"/>
        <color indexed="8"/>
        <rFont val="Calibri"/>
        <family val="2"/>
        <scheme val="minor"/>
      </rPr>
      <t>FOG,ind,p</t>
    </r>
  </si>
  <si>
    <t>di cui dotate di pre-trattamenti</t>
  </si>
  <si>
    <r>
      <t>UtT</t>
    </r>
    <r>
      <rPr>
        <vertAlign val="subscript"/>
        <sz val="11"/>
        <color indexed="8"/>
        <rFont val="Calibri"/>
        <family val="2"/>
        <scheme val="minor"/>
      </rPr>
      <t>FOG,ind,d</t>
    </r>
  </si>
  <si>
    <t>di cui con parametri in deroga alla tabella 3, Allegato 5, Parte III, D.lgs 152/2006</t>
  </si>
  <si>
    <r>
      <t>UtT</t>
    </r>
    <r>
      <rPr>
        <vertAlign val="subscript"/>
        <sz val="11"/>
        <color indexed="8"/>
        <rFont val="Calibri"/>
        <family val="2"/>
        <scheme val="minor"/>
      </rPr>
      <t>cond,FOG</t>
    </r>
  </si>
  <si>
    <t>Numero di utenze condominiali servite dal gestore per il servizio di fognatura</t>
  </si>
  <si>
    <r>
      <t>UtT</t>
    </r>
    <r>
      <rPr>
        <vertAlign val="subscript"/>
        <sz val="11"/>
        <color indexed="8"/>
        <rFont val="Calibri"/>
        <family val="2"/>
        <scheme val="minor"/>
      </rPr>
      <t>indr,FOG</t>
    </r>
  </si>
  <si>
    <t>Numero di utenti indiretti sottesi alle utenze condominiali servite dal gestore per il servizio di fognatura</t>
  </si>
  <si>
    <r>
      <t>U</t>
    </r>
    <r>
      <rPr>
        <vertAlign val="subscript"/>
        <sz val="11"/>
        <color rgb="FF000000"/>
        <rFont val="Calibri"/>
        <family val="2"/>
        <scheme val="minor"/>
      </rPr>
      <t>tot,FOG</t>
    </r>
  </si>
  <si>
    <t>Numero di utenti finali serviti dal gestore per il servizio di fognatura (compresi utenti indiretti)</t>
  </si>
  <si>
    <r>
      <t>Car</t>
    </r>
    <r>
      <rPr>
        <vertAlign val="subscript"/>
        <sz val="11"/>
        <color theme="1"/>
        <rFont val="Calibri"/>
        <family val="2"/>
        <scheme val="minor"/>
      </rPr>
      <t>gen</t>
    </r>
  </si>
  <si>
    <t>Totale carico inquinante delle acque reflue del territorio servito (carico generato)</t>
  </si>
  <si>
    <t>Carico biodegradabile generato nel territorio in cui è svolto il servizio di fognatura</t>
  </si>
  <si>
    <r>
      <t>Car</t>
    </r>
    <r>
      <rPr>
        <vertAlign val="subscript"/>
        <sz val="11"/>
        <color theme="1"/>
        <rFont val="Calibri"/>
        <family val="2"/>
        <scheme val="minor"/>
      </rPr>
      <t>gen,dnd</t>
    </r>
  </si>
  <si>
    <t>di cui di origine domestica o non domestica assimilabile</t>
  </si>
  <si>
    <r>
      <t>Car</t>
    </r>
    <r>
      <rPr>
        <vertAlign val="subscript"/>
        <sz val="11"/>
        <color theme="1"/>
        <rFont val="Calibri"/>
        <family val="2"/>
        <scheme val="minor"/>
      </rPr>
      <t>gen,ind</t>
    </r>
  </si>
  <si>
    <r>
      <t>Car</t>
    </r>
    <r>
      <rPr>
        <vertAlign val="subscript"/>
        <sz val="11"/>
        <color theme="1"/>
        <rFont val="Calibri"/>
        <family val="2"/>
        <scheme val="minor"/>
      </rPr>
      <t>col</t>
    </r>
  </si>
  <si>
    <t>Totale carico inquinante delle acque reflue collettate in rete fognaria (carico collettato)</t>
  </si>
  <si>
    <t>Componente di carico biodegradabile generato nel territorio in cui è svolto il servizio di fognatura ed effettivamente collettato in fognatura</t>
  </si>
  <si>
    <r>
      <t>Car</t>
    </r>
    <r>
      <rPr>
        <vertAlign val="subscript"/>
        <sz val="11"/>
        <color theme="1"/>
        <rFont val="Calibri"/>
        <family val="2"/>
        <scheme val="minor"/>
      </rPr>
      <t>col,dnd</t>
    </r>
  </si>
  <si>
    <r>
      <t>Car</t>
    </r>
    <r>
      <rPr>
        <vertAlign val="subscript"/>
        <sz val="11"/>
        <color theme="1"/>
        <rFont val="Calibri"/>
        <family val="2"/>
        <scheme val="minor"/>
      </rPr>
      <t>col,ind</t>
    </r>
  </si>
  <si>
    <t>DEPURAZIONE - Ulteriori dati</t>
  </si>
  <si>
    <t>Numero complessivo di impianti di depurazione (incluse vasche Imhoff)</t>
  </si>
  <si>
    <r>
      <t>Ndep</t>
    </r>
    <r>
      <rPr>
        <vertAlign val="subscript"/>
        <sz val="11"/>
        <color rgb="FF000000"/>
        <rFont val="Calibri"/>
        <family val="2"/>
        <scheme val="minor"/>
      </rPr>
      <t>0</t>
    </r>
  </si>
  <si>
    <t>di cui vasche Imhoff</t>
  </si>
  <si>
    <r>
      <t>Ndep</t>
    </r>
    <r>
      <rPr>
        <vertAlign val="subscript"/>
        <sz val="11"/>
        <color rgb="FF000000"/>
        <rFont val="Calibri"/>
        <family val="2"/>
        <scheme val="minor"/>
      </rPr>
      <t>1</t>
    </r>
  </si>
  <si>
    <t>di cui con trattamento sino al primario</t>
  </si>
  <si>
    <t>(Escludendo gli impianti inseriti nella riga precedente)</t>
  </si>
  <si>
    <r>
      <t>Ndep</t>
    </r>
    <r>
      <rPr>
        <vertAlign val="subscript"/>
        <sz val="11"/>
        <color rgb="FF000000"/>
        <rFont val="Calibri"/>
        <family val="2"/>
        <scheme val="minor"/>
      </rPr>
      <t>2</t>
    </r>
  </si>
  <si>
    <t>di cui con trattamento sino al secondario</t>
  </si>
  <si>
    <t>(Escludendo gli impianti inseriti nelle righe precedenti)</t>
  </si>
  <si>
    <r>
      <t>Ndep</t>
    </r>
    <r>
      <rPr>
        <vertAlign val="subscript"/>
        <sz val="11"/>
        <color rgb="FF000000"/>
        <rFont val="Calibri"/>
        <family val="2"/>
        <scheme val="minor"/>
      </rPr>
      <t>3</t>
    </r>
  </si>
  <si>
    <t>di cui con trattamento sino al terziario</t>
  </si>
  <si>
    <r>
      <t>Ndep</t>
    </r>
    <r>
      <rPr>
        <vertAlign val="subscript"/>
        <sz val="11"/>
        <color rgb="FF000000"/>
        <rFont val="Calibri"/>
        <family val="2"/>
        <scheme val="minor"/>
      </rPr>
      <t>4</t>
    </r>
  </si>
  <si>
    <t>di cui con trattamento sino al terziario avanzato</t>
  </si>
  <si>
    <r>
      <t>Ndep</t>
    </r>
    <r>
      <rPr>
        <vertAlign val="subscript"/>
        <sz val="11"/>
        <color rgb="FF000000"/>
        <rFont val="Calibri"/>
        <family val="2"/>
        <scheme val="minor"/>
      </rPr>
      <t>A</t>
    </r>
  </si>
  <si>
    <t xml:space="preserve">di cui con potenzialità A.E. &lt; 2.000 </t>
  </si>
  <si>
    <r>
      <t>Ndep</t>
    </r>
    <r>
      <rPr>
        <vertAlign val="subscript"/>
        <sz val="11"/>
        <color rgb="FF000000"/>
        <rFont val="Calibri"/>
        <family val="2"/>
        <scheme val="minor"/>
      </rPr>
      <t>B</t>
    </r>
  </si>
  <si>
    <t>di cui con potenzialità 2.000 &lt;= A.E. &lt; 10.000</t>
  </si>
  <si>
    <r>
      <t>Ndep</t>
    </r>
    <r>
      <rPr>
        <vertAlign val="subscript"/>
        <sz val="11"/>
        <color rgb="FF000000"/>
        <rFont val="Calibri"/>
        <family val="2"/>
        <scheme val="minor"/>
      </rPr>
      <t>C</t>
    </r>
  </si>
  <si>
    <t>di cui con potenzialità 10.000 &lt;= A.E. &lt; 100.000</t>
  </si>
  <si>
    <r>
      <t>Ndep</t>
    </r>
    <r>
      <rPr>
        <vertAlign val="subscript"/>
        <sz val="11"/>
        <color rgb="FF000000"/>
        <rFont val="Calibri"/>
        <family val="2"/>
        <scheme val="minor"/>
      </rPr>
      <t>D</t>
    </r>
  </si>
  <si>
    <t>di cui con potenzialità A.E. &gt;= 100.000</t>
  </si>
  <si>
    <r>
      <t>Ndep</t>
    </r>
    <r>
      <rPr>
        <vertAlign val="subscript"/>
        <sz val="11"/>
        <color rgb="FF000000"/>
        <rFont val="Calibri"/>
        <family val="2"/>
        <scheme val="minor"/>
      </rPr>
      <t>E</t>
    </r>
  </si>
  <si>
    <t xml:space="preserve">        di cui con potenzialità A.E. &gt;= 500.000</t>
  </si>
  <si>
    <r>
      <t>Car</t>
    </r>
    <r>
      <rPr>
        <vertAlign val="subscript"/>
        <sz val="11"/>
        <color theme="1"/>
        <rFont val="Calibri"/>
        <family val="2"/>
        <scheme val="minor"/>
      </rPr>
      <t>gen_dep</t>
    </r>
  </si>
  <si>
    <t>Totale carico inquinante delle acque reflue del territorio gestito (carico generato)</t>
  </si>
  <si>
    <r>
      <t>In caso di gestione completamente integrata, questo valore coincide con il carico generato Car</t>
    </r>
    <r>
      <rPr>
        <vertAlign val="subscript"/>
        <sz val="10"/>
        <rFont val="Calibri"/>
        <family val="2"/>
        <scheme val="minor"/>
      </rPr>
      <t>gen</t>
    </r>
    <r>
      <rPr>
        <sz val="10"/>
        <rFont val="Calibri"/>
        <family val="2"/>
        <scheme val="minor"/>
      </rPr>
      <t xml:space="preserve"> di cui alla riga 93</t>
    </r>
  </si>
  <si>
    <r>
      <t>Car</t>
    </r>
    <r>
      <rPr>
        <vertAlign val="subscript"/>
        <sz val="11"/>
        <color rgb="FF000000"/>
        <rFont val="Calibri"/>
        <family val="2"/>
        <scheme val="minor"/>
      </rPr>
      <t>dep0</t>
    </r>
  </si>
  <si>
    <t>di cui confluito in vasche Imhoff</t>
  </si>
  <si>
    <r>
      <t>Car</t>
    </r>
    <r>
      <rPr>
        <vertAlign val="subscript"/>
        <sz val="11"/>
        <color rgb="FF000000"/>
        <rFont val="Calibri"/>
        <family val="2"/>
        <scheme val="minor"/>
      </rPr>
      <t>dep1</t>
    </r>
  </si>
  <si>
    <t>di cui confluito in trattamenti sino ai primari</t>
  </si>
  <si>
    <r>
      <t>Car</t>
    </r>
    <r>
      <rPr>
        <vertAlign val="subscript"/>
        <sz val="11"/>
        <color rgb="FF000000"/>
        <rFont val="Calibri"/>
        <family val="2"/>
        <scheme val="minor"/>
      </rPr>
      <t>dep2</t>
    </r>
  </si>
  <si>
    <t>di cui confluito in trattamenti sino ai secondari</t>
  </si>
  <si>
    <r>
      <t>Car</t>
    </r>
    <r>
      <rPr>
        <vertAlign val="subscript"/>
        <sz val="11"/>
        <color rgb="FF000000"/>
        <rFont val="Calibri"/>
        <family val="2"/>
        <scheme val="minor"/>
      </rPr>
      <t>dep3</t>
    </r>
  </si>
  <si>
    <t>di cui confluito in trattamenti sino ai terziari</t>
  </si>
  <si>
    <r>
      <t>Car</t>
    </r>
    <r>
      <rPr>
        <vertAlign val="subscript"/>
        <sz val="11"/>
        <color rgb="FF000000"/>
        <rFont val="Calibri"/>
        <family val="2"/>
        <scheme val="minor"/>
      </rPr>
      <t>dep4</t>
    </r>
  </si>
  <si>
    <t>di cui confluito in trattamenti sino ai terziari avanzati</t>
  </si>
  <si>
    <r>
      <t>W</t>
    </r>
    <r>
      <rPr>
        <vertAlign val="subscript"/>
        <sz val="11"/>
        <rFont val="Calibri"/>
        <family val="2"/>
        <scheme val="minor"/>
      </rPr>
      <t>DEPin</t>
    </r>
  </si>
  <si>
    <t>Volume totale reflui in ingresso alla depurazione</t>
  </si>
  <si>
    <r>
      <t>W</t>
    </r>
    <r>
      <rPr>
        <vertAlign val="subscript"/>
        <sz val="11"/>
        <rFont val="Calibri"/>
        <family val="2"/>
        <scheme val="minor"/>
      </rPr>
      <t>RIF_Lin</t>
    </r>
  </si>
  <si>
    <t>Volume totale rifiuti liquidi in ingresso alla depurazione</t>
  </si>
  <si>
    <r>
      <t>W</t>
    </r>
    <r>
      <rPr>
        <vertAlign val="subscript"/>
        <sz val="11"/>
        <color rgb="FF000000"/>
        <rFont val="Calibri"/>
        <family val="2"/>
        <scheme val="minor"/>
      </rPr>
      <t>DEP</t>
    </r>
  </si>
  <si>
    <t>Volume totale reflui depurati in uscita dalla depurazione</t>
  </si>
  <si>
    <r>
      <t>W</t>
    </r>
    <r>
      <rPr>
        <vertAlign val="subscript"/>
        <sz val="11"/>
        <color rgb="FF000000"/>
        <rFont val="Calibri"/>
        <family val="2"/>
        <scheme val="minor"/>
      </rPr>
      <t>DEP,r1</t>
    </r>
  </si>
  <si>
    <t>di cui destinabile al riutilizzo</t>
  </si>
  <si>
    <r>
      <t>W</t>
    </r>
    <r>
      <rPr>
        <vertAlign val="subscript"/>
        <sz val="11"/>
        <color rgb="FF000000"/>
        <rFont val="Calibri"/>
        <family val="2"/>
        <scheme val="minor"/>
      </rPr>
      <t>DEP,r2</t>
    </r>
  </si>
  <si>
    <t>di cui destinato al riutilizzo</t>
  </si>
  <si>
    <r>
      <t>Ndep</t>
    </r>
    <r>
      <rPr>
        <vertAlign val="subscript"/>
        <sz val="11"/>
        <rFont val="Calibri"/>
        <family val="2"/>
        <scheme val="minor"/>
      </rPr>
      <t>ess</t>
    </r>
  </si>
  <si>
    <t>Numero complessivo di impianti di depurazione con sezione di essiccamento dei fanghi</t>
  </si>
  <si>
    <r>
      <t>Ndep</t>
    </r>
    <r>
      <rPr>
        <vertAlign val="subscript"/>
        <sz val="11"/>
        <rFont val="Calibri"/>
        <family val="2"/>
        <scheme val="minor"/>
      </rPr>
      <t>dig_an</t>
    </r>
  </si>
  <si>
    <t>Numero complessivo di impianti di depurazione con digestione anaerobica nella linea di trattamento fanghi</t>
  </si>
  <si>
    <t>Non è la somma dei "di cui" sottostanti</t>
  </si>
  <si>
    <r>
      <t>Ndep</t>
    </r>
    <r>
      <rPr>
        <vertAlign val="subscript"/>
        <sz val="11"/>
        <rFont val="Calibri"/>
        <family val="2"/>
        <scheme val="minor"/>
      </rPr>
      <t>dig_an,FOR</t>
    </r>
  </si>
  <si>
    <t>di cui co-trattamento con FORSU/altri scarti organici</t>
  </si>
  <si>
    <r>
      <t>Ndep</t>
    </r>
    <r>
      <rPr>
        <vertAlign val="subscript"/>
        <sz val="11"/>
        <rFont val="Calibri"/>
        <family val="2"/>
        <scheme val="minor"/>
      </rPr>
      <t>dig_an,BGAS</t>
    </r>
  </si>
  <si>
    <t>di cui con valorizzazione energetica del biogas prodotto</t>
  </si>
  <si>
    <t>Ulteriori specificazioni (anche ai sensi della delibera 609/2021/R/idr e della delibera 639/2021/R/idr)</t>
  </si>
  <si>
    <r>
      <t>∑U</t>
    </r>
    <r>
      <rPr>
        <vertAlign val="subscript"/>
        <sz val="11"/>
        <color theme="3"/>
        <rFont val="Calibri"/>
        <family val="2"/>
        <scheme val="minor"/>
      </rPr>
      <t>SR1ind</t>
    </r>
    <r>
      <rPr>
        <sz val="11"/>
        <color theme="3"/>
        <rFont val="Calibri"/>
        <family val="2"/>
        <scheme val="minor"/>
      </rPr>
      <t xml:space="preserve"> </t>
    </r>
  </si>
  <si>
    <t>Sommatoria degli utenti finali (esclusi utenti indiretti) con diritto all'indennizzo automatico per SR1</t>
  </si>
  <si>
    <t>Dato compilabile a partire dal 2023</t>
  </si>
  <si>
    <r>
      <t>∑U</t>
    </r>
    <r>
      <rPr>
        <vertAlign val="subscript"/>
        <sz val="11"/>
        <color theme="3"/>
        <rFont val="Calibri"/>
        <family val="2"/>
        <scheme val="minor"/>
      </rPr>
      <t>SR2ind</t>
    </r>
    <r>
      <rPr>
        <sz val="11"/>
        <color theme="3"/>
        <rFont val="Calibri"/>
        <family val="2"/>
        <scheme val="minor"/>
      </rPr>
      <t xml:space="preserve"> </t>
    </r>
  </si>
  <si>
    <t>Sommatoria degli utenti finali (esclusi utenti indiretti) con diritto all'indennizzo automatico per SR2</t>
  </si>
  <si>
    <r>
      <t>∑U</t>
    </r>
    <r>
      <rPr>
        <vertAlign val="subscript"/>
        <sz val="11"/>
        <color theme="3"/>
        <rFont val="Calibri"/>
        <family val="2"/>
        <scheme val="minor"/>
      </rPr>
      <t>SPind</t>
    </r>
    <r>
      <rPr>
        <sz val="11"/>
        <color theme="3"/>
        <rFont val="Calibri"/>
        <family val="2"/>
        <scheme val="minor"/>
      </rPr>
      <t xml:space="preserve"> </t>
    </r>
  </si>
  <si>
    <t>Sommatoria degli utenti finali (compresi utenti indiretti) con diritto all'indennizzo automatico per SP</t>
  </si>
  <si>
    <r>
      <t>Ind</t>
    </r>
    <r>
      <rPr>
        <vertAlign val="subscript"/>
        <sz val="11"/>
        <color theme="3"/>
        <rFont val="Calibri"/>
        <family val="2"/>
        <scheme val="minor"/>
      </rPr>
      <t>C,m</t>
    </r>
  </si>
  <si>
    <t>Ammontare complessivo degli indennizzi erogato agli utenti finali (esclusi utenti indiretti) interessati da mancato rispetto degli standard specifici del servizio di misura</t>
  </si>
  <si>
    <r>
      <t>Ind</t>
    </r>
    <r>
      <rPr>
        <vertAlign val="subscript"/>
        <sz val="11"/>
        <color theme="3"/>
        <rFont val="Calibri"/>
        <family val="2"/>
        <scheme val="minor"/>
      </rPr>
      <t>NC,m</t>
    </r>
  </si>
  <si>
    <t>Ammontare complessivo degli indennizzi non ancora corrisposto agli utenti finali (esclusi utenti indiretti) interessati da mancato rispetto degli standard specifici di misura</t>
  </si>
  <si>
    <r>
      <t>Lall</t>
    </r>
    <r>
      <rPr>
        <vertAlign val="subscript"/>
        <sz val="11"/>
        <color theme="3"/>
        <rFont val="Calibri"/>
        <family val="2"/>
        <scheme val="minor"/>
      </rPr>
      <t>geo</t>
    </r>
  </si>
  <si>
    <t>di cui lunghezza effettivamente rilevata con georeferenziazione completa (come da comma 7.3 RQTI)</t>
  </si>
  <si>
    <t>Indicare lo sviluppo lineare delle condotte di allaccio completamente georeferenziate (solo se corredato da istanza dell'EGA ai sensi del comma 7.3 RQTI)</t>
  </si>
  <si>
    <t>Macro-indicatore</t>
  </si>
  <si>
    <t>Valori per definizione obiettivo 2020</t>
  </si>
  <si>
    <t>Definizione obiettivo 2021</t>
  </si>
  <si>
    <t>Valori 2020 consuntivi</t>
  </si>
  <si>
    <t>Valori 2021 consuntivi</t>
  </si>
  <si>
    <t>M1</t>
  </si>
  <si>
    <t>Presenza prerequisito Preq1</t>
  </si>
  <si>
    <r>
      <t>Presenza prerequisito Preq4</t>
    </r>
    <r>
      <rPr>
        <b/>
        <vertAlign val="subscript"/>
        <sz val="11"/>
        <rFont val="Calibri"/>
        <family val="2"/>
        <scheme val="minor"/>
      </rPr>
      <t>M1</t>
    </r>
  </si>
  <si>
    <t>Classe</t>
  </si>
  <si>
    <t>Obiettivo RQTI</t>
  </si>
  <si>
    <t>Valore obiettivo M1a</t>
  </si>
  <si>
    <t>Raggiungimento obiettivo (*)</t>
  </si>
  <si>
    <t/>
  </si>
  <si>
    <t xml:space="preserve">Anno di riferimento per valutazione obiettivo 2020 per M1 </t>
  </si>
  <si>
    <r>
      <t>Presenza prerequisito Preq4</t>
    </r>
    <r>
      <rPr>
        <b/>
        <vertAlign val="subscript"/>
        <sz val="11"/>
        <rFont val="Calibri"/>
        <family val="2"/>
        <scheme val="minor"/>
      </rPr>
      <t>M2</t>
    </r>
  </si>
  <si>
    <t>Valore obiettivo M2</t>
  </si>
  <si>
    <t>Anno di riferimento per valutazione obiettivo  2020 per M2</t>
  </si>
  <si>
    <t>M3</t>
  </si>
  <si>
    <t>Presenza prerequisito Preq2</t>
  </si>
  <si>
    <r>
      <t>Presenza prerequisito Preq4</t>
    </r>
    <r>
      <rPr>
        <b/>
        <vertAlign val="subscript"/>
        <sz val="11"/>
        <rFont val="Calibri"/>
        <family val="2"/>
        <scheme val="minor"/>
      </rPr>
      <t>M3</t>
    </r>
  </si>
  <si>
    <t>Valore obiettivo M3a</t>
  </si>
  <si>
    <t>Valore obiettivo M3b</t>
  </si>
  <si>
    <t>Valore obiettivo M3c</t>
  </si>
  <si>
    <t>Anno di riferimento per valutazione obiettivo 2020 per M3</t>
  </si>
  <si>
    <t>M4</t>
  </si>
  <si>
    <r>
      <t>Presenza prerequisitoPreq3</t>
    </r>
    <r>
      <rPr>
        <b/>
        <vertAlign val="subscript"/>
        <sz val="11"/>
        <color rgb="FF000000"/>
        <rFont val="Calibri"/>
        <family val="2"/>
        <scheme val="minor"/>
      </rPr>
      <t>M4</t>
    </r>
  </si>
  <si>
    <r>
      <t>Presenza prerequisito Preq4</t>
    </r>
    <r>
      <rPr>
        <b/>
        <vertAlign val="subscript"/>
        <sz val="11"/>
        <color rgb="FF000000"/>
        <rFont val="Calibri"/>
        <family val="2"/>
      </rPr>
      <t>M4</t>
    </r>
  </si>
  <si>
    <t>Valore obiettivo M4a</t>
  </si>
  <si>
    <t>Valore obiettivo M4b</t>
  </si>
  <si>
    <t>Valore obiettivo M4c</t>
  </si>
  <si>
    <t>Anno di riferimento per valutazione obiettivo 2020 per M4</t>
  </si>
  <si>
    <r>
      <t>Presenza prerequisitoPreq3</t>
    </r>
    <r>
      <rPr>
        <b/>
        <vertAlign val="subscript"/>
        <sz val="11"/>
        <color rgb="FF000000"/>
        <rFont val="Calibri"/>
        <family val="2"/>
        <scheme val="minor"/>
      </rPr>
      <t>M5</t>
    </r>
  </si>
  <si>
    <r>
      <t>Presenza prerequisito Preq4</t>
    </r>
    <r>
      <rPr>
        <b/>
        <vertAlign val="subscript"/>
        <sz val="11"/>
        <color rgb="FF000000"/>
        <rFont val="Calibri"/>
        <family val="2"/>
      </rPr>
      <t>M5</t>
    </r>
  </si>
  <si>
    <r>
      <t>MF</t>
    </r>
    <r>
      <rPr>
        <b/>
        <vertAlign val="subscript"/>
        <sz val="11"/>
        <color rgb="FF000000"/>
        <rFont val="Calibri"/>
        <family val="2"/>
        <scheme val="minor"/>
      </rPr>
      <t>tq,disc</t>
    </r>
    <r>
      <rPr>
        <b/>
        <sz val="11"/>
        <color rgb="FF000000"/>
        <rFont val="Calibri"/>
        <family val="2"/>
        <scheme val="minor"/>
      </rPr>
      <t xml:space="preserve"> (∑MF</t>
    </r>
    <r>
      <rPr>
        <b/>
        <vertAlign val="subscript"/>
        <sz val="11"/>
        <color rgb="FF000000"/>
        <rFont val="Calibri"/>
        <family val="2"/>
        <scheme val="minor"/>
      </rPr>
      <t>tq,disc,imp</t>
    </r>
    <r>
      <rPr>
        <b/>
        <sz val="11"/>
        <color rgb="FF000000"/>
        <rFont val="Calibri"/>
        <family val="2"/>
        <scheme val="minor"/>
      </rPr>
      <t>)</t>
    </r>
  </si>
  <si>
    <t xml:space="preserve">Valore obiettivo MFtq,disc </t>
  </si>
  <si>
    <t>Anno di riferimento per valutazione obiettivo 2020 per M5</t>
  </si>
  <si>
    <r>
      <t>Presenza prerequisitoPreq3</t>
    </r>
    <r>
      <rPr>
        <b/>
        <vertAlign val="subscript"/>
        <sz val="11"/>
        <color rgb="FF000000"/>
        <rFont val="Calibri"/>
        <family val="2"/>
        <scheme val="minor"/>
      </rPr>
      <t>M6</t>
    </r>
  </si>
  <si>
    <r>
      <t>Presenza prerequisito Preq4</t>
    </r>
    <r>
      <rPr>
        <b/>
        <vertAlign val="subscript"/>
        <sz val="11"/>
        <color rgb="FF000000"/>
        <rFont val="Calibri"/>
        <family val="2"/>
      </rPr>
      <t>M6</t>
    </r>
  </si>
  <si>
    <t>Valore obiettivo M6</t>
  </si>
  <si>
    <t>Anno di riferimento per valutazione obiettivo 2020 per M6</t>
  </si>
  <si>
    <t>Verifica mancato peggioramento classe</t>
  </si>
  <si>
    <t>ID ATO</t>
  </si>
  <si>
    <t>ID ARERA Gestore</t>
  </si>
  <si>
    <t>ATO LEMENE (Friuli Venezia Giulia-Veneto)</t>
  </si>
  <si>
    <t>AZIENDA PUBBLISERVIZI BRUNICO</t>
  </si>
  <si>
    <t>ATO 1 - VERBANO-CUSIO-OSSOLA E PIANURA NOVARESE</t>
  </si>
  <si>
    <t>SOGIP S.R.L.</t>
  </si>
  <si>
    <t>ATO 2 - BIELLESE, VERCELLESE, CASALESE</t>
  </si>
  <si>
    <t>COMUNE DI VERMIGLIO</t>
  </si>
  <si>
    <t>ATO 3 - TORINO</t>
  </si>
  <si>
    <t>Comune di Castello - Molina di Fiemme</t>
  </si>
  <si>
    <t>ATO 4 - CUNEO</t>
  </si>
  <si>
    <t>COMUNE DI CAVALESE</t>
  </si>
  <si>
    <t>ATO 5 - ASTIGIANO, MONFERRATO</t>
  </si>
  <si>
    <t>COMUNE DI PARCINES</t>
  </si>
  <si>
    <t>ATO 6 - ALESSANDRIA</t>
  </si>
  <si>
    <t>COMUNE DI BARETE</t>
  </si>
  <si>
    <t>ATO VALLE D'AOSTA</t>
  </si>
  <si>
    <t>COMUNE DI PALU' DEL FERSINA</t>
  </si>
  <si>
    <t>ATO BG - BERGAMO</t>
  </si>
  <si>
    <t>COMUNE DI BESENELLO</t>
  </si>
  <si>
    <t>ATO BS - BRESCIA</t>
  </si>
  <si>
    <t>COMUNE DI FAI DELLA PAGANELLA</t>
  </si>
  <si>
    <t>ATO CO - COMO</t>
  </si>
  <si>
    <t>A.S.SE.M. SPA</t>
  </si>
  <si>
    <t>ATO CR - CREMONA</t>
  </si>
  <si>
    <t>COMUNE DI AVIO</t>
  </si>
  <si>
    <t>ATO LC - LECCO</t>
  </si>
  <si>
    <t>COMUNE DI ANVERSA DEGLI ABRUZZI</t>
  </si>
  <si>
    <t>ATO LO - LODI</t>
  </si>
  <si>
    <t>COMUNE DI CASTIGLIONE DI SICILIA</t>
  </si>
  <si>
    <t>ATO MI - Città Metropolitana di Milano</t>
  </si>
  <si>
    <t>VIVA Servizi SpA</t>
  </si>
  <si>
    <t>ATO MN - MANTOVA</t>
  </si>
  <si>
    <t>COMUNE DI FRANCAVILLA DI SICILIA</t>
  </si>
  <si>
    <t>ATO PV - PAVIA</t>
  </si>
  <si>
    <t>AMEA S.P.A.</t>
  </si>
  <si>
    <t>ATO SO - SONDRIO</t>
  </si>
  <si>
    <t>COMUNE DI CASTEL DEL MONTE</t>
  </si>
  <si>
    <t>ATO VA - VARESE</t>
  </si>
  <si>
    <t>COMUNE DI VALPRATO SOANA</t>
  </si>
  <si>
    <t>ATO MB - MONZA E DELLA BRIANZA</t>
  </si>
  <si>
    <t>EROGASMET S.P.A.</t>
  </si>
  <si>
    <t>ATO NL - TRENTO</t>
  </si>
  <si>
    <t>COMUNE DI MAPELLO</t>
  </si>
  <si>
    <t>ATO BOLZANO</t>
  </si>
  <si>
    <t>AMAMBIENTE</t>
  </si>
  <si>
    <t>ATO PUSTERIA</t>
  </si>
  <si>
    <t>AMIAS SERVIZI SRL</t>
  </si>
  <si>
    <t>ATO VAL VENOSTA</t>
  </si>
  <si>
    <t>SEAB - SERVIZI ENERGIA AMBIENTE BOLZANO S.P.A. / SEAB - ENERGIE- UMWELTBETRIEBE BOZEN A.G.</t>
  </si>
  <si>
    <t>ATO VALLE ISARCO</t>
  </si>
  <si>
    <t>ASET S.P.A.</t>
  </si>
  <si>
    <t>ATO AV - ALTO VENETO</t>
  </si>
  <si>
    <t>COMUNE DI ANDALO</t>
  </si>
  <si>
    <t>ATO B - BACCHIGLIONE</t>
  </si>
  <si>
    <t>Comune di Corvara in Badia</t>
  </si>
  <si>
    <t>ATO BR - BRENTA</t>
  </si>
  <si>
    <t>COMUNE DI TIRES - AZIENDA ELETTRICA</t>
  </si>
  <si>
    <t>ATO LV - LAGUNA DI VENEZIA</t>
  </si>
  <si>
    <t>ACQUE DEL CHIAMPO S.P.A. SERVIZIO IDRICO INTEGRATO</t>
  </si>
  <si>
    <t>ATO P - POLESINE</t>
  </si>
  <si>
    <t>COMUNE DI MOLVENO</t>
  </si>
  <si>
    <t>ATO V - VERONA</t>
  </si>
  <si>
    <t>BIM GESTIONE SERVIZI PUBBLICI SPA</t>
  </si>
  <si>
    <t>ATO VC - VALLE DEL CHIAMPO</t>
  </si>
  <si>
    <t>COMUNE DI TUBRE</t>
  </si>
  <si>
    <t>ATO VO - VENETO ORIENTALE</t>
  </si>
  <si>
    <t>A.S.A. - AZIENDA SERVIZI AMBIENTALI SPA</t>
  </si>
  <si>
    <t>ATO CEN - CENTRALE UDINE</t>
  </si>
  <si>
    <t>COMUNE DI SLUDERNO</t>
  </si>
  <si>
    <t>ATO OCC - OCCIDENTALE PORDENONE</t>
  </si>
  <si>
    <t>ASM TIONE - AZIENDA SERVIZI MUNICIPALIZZATI</t>
  </si>
  <si>
    <t>ATO ORG - ORIENTALE-GORIZIANO</t>
  </si>
  <si>
    <t>AZIENDA ELETTRICA COMUNALE - VIPITENO</t>
  </si>
  <si>
    <t>ATO ORT - ORIENTALE-TRIESTINO</t>
  </si>
  <si>
    <t>COMUNE DI JELSI</t>
  </si>
  <si>
    <t>ATO Centro-Est (GENOVA)</t>
  </si>
  <si>
    <t>HERA S.P.A.</t>
  </si>
  <si>
    <t>ATO Ovest (IMPERIA)</t>
  </si>
  <si>
    <t>AcegasApsAmga S.p.A.</t>
  </si>
  <si>
    <t>ATO Est (LA SPEZIA)</t>
  </si>
  <si>
    <t>ALTO GARDA SERVIZI SPA</t>
  </si>
  <si>
    <t>ATO Centro-Ovest 1 (SAVONA)</t>
  </si>
  <si>
    <t>ASM VERCELLI SPA</t>
  </si>
  <si>
    <t>ATO Centro-Ovest 2 (SAVONA)</t>
  </si>
  <si>
    <t>NOVARETI SPA</t>
  </si>
  <si>
    <t>ATO 1 - PIACENZA</t>
  </si>
  <si>
    <t>Comune di Nalles</t>
  </si>
  <si>
    <t>ATO 2 - PARMA</t>
  </si>
  <si>
    <t>ASTEA SPA</t>
  </si>
  <si>
    <t>ATO 3 - REGGIO NELL'EMILIA</t>
  </si>
  <si>
    <t>AIMAG S.P.A.</t>
  </si>
  <si>
    <t>ATO 4 - MODENA</t>
  </si>
  <si>
    <t>VALLE UMBRA SERVIZI S.P.A.</t>
  </si>
  <si>
    <t>ATO 5 - BOLOGNA</t>
  </si>
  <si>
    <t>ATAC CIVITANOVA SPA</t>
  </si>
  <si>
    <t>ATO 6 - FERRARA</t>
  </si>
  <si>
    <t>Lura Ambiente SpA</t>
  </si>
  <si>
    <t>ATO 7 - RAVENNA</t>
  </si>
  <si>
    <t>COMUNE DI VEZZA D'OGLIO</t>
  </si>
  <si>
    <t>ATO 8 - FORLI'-CESENA</t>
  </si>
  <si>
    <t>LARIO RETI HOLDING</t>
  </si>
  <si>
    <t>ATO 9 - RIMINI</t>
  </si>
  <si>
    <t>COMUNE DI PREDAZZO - AEC</t>
  </si>
  <si>
    <t>ATO 1 - TOSCANA NORD</t>
  </si>
  <si>
    <t>COMUNE DI ISERA</t>
  </si>
  <si>
    <t>ATO 2 - BASSO VALDARNO (PISA)</t>
  </si>
  <si>
    <t>AZIENDA SERVIZI VALTROMPIA SPA</t>
  </si>
  <si>
    <t>ATO 3 - MEDIO VALDARNO (FIRENZE)</t>
  </si>
  <si>
    <t>Marche Multiservizi S.p.A.</t>
  </si>
  <si>
    <t>ATO 4 - ALTO VALDARNO (AREZZO)</t>
  </si>
  <si>
    <t>ACQUAMBIENTE MARCHE SRL</t>
  </si>
  <si>
    <t>ATO 5 - TOSCANA COSTA</t>
  </si>
  <si>
    <t>COMUNE DI OSSANA</t>
  </si>
  <si>
    <t>ATO 6 - OMBRONE (GROSSETO)</t>
  </si>
  <si>
    <t>COMUNE DI FROSOLONE</t>
  </si>
  <si>
    <t>ATI 1 e 2– Ambito 1 e Ambito 2</t>
  </si>
  <si>
    <t>COMUNE DI VANDOIES</t>
  </si>
  <si>
    <t>ATI 3 – Ambito 3</t>
  </si>
  <si>
    <t>ASM Bressanone SpA</t>
  </si>
  <si>
    <t>ATI 4 – Ambito 4</t>
  </si>
  <si>
    <t>S.EC.AM. S.P.A.</t>
  </si>
  <si>
    <t>ATO 1 - MARCHE NORD PESARO E URBINO</t>
  </si>
  <si>
    <t>COMUNE DI SANT'ORSOLA TERME</t>
  </si>
  <si>
    <t>ATO 2 - MARCHE CENTRO ANCONA</t>
  </si>
  <si>
    <t>COMUNE DI CALDES</t>
  </si>
  <si>
    <t>ATO 3 - MARCHE CENTRO MACERATA</t>
  </si>
  <si>
    <t>COMUNE DI CURON VENOSTA (BZ)</t>
  </si>
  <si>
    <t>ATO 4 - MARCHE SUD ALTO PICENO MACERATESE</t>
  </si>
  <si>
    <t>COMUNE DI PACENTRO</t>
  </si>
  <si>
    <t>ATO 5 - MARCHE SUD ASCOLI PICENO</t>
  </si>
  <si>
    <t>A.S.S.M. S.P.A. - TOLENTINO</t>
  </si>
  <si>
    <t>ATO 1 - LAZIO NORD VITERBO</t>
  </si>
  <si>
    <t>AIR AZIENDA INTERCOMUNALE ROTALIANA S.P.A. SOCIETÀ BENEFIT</t>
  </si>
  <si>
    <t>ATO 2 - LAZIO CENTRALE ROMA</t>
  </si>
  <si>
    <t>PADANIA ACQUE S.P.A.</t>
  </si>
  <si>
    <t>ATO 3 - LAZIO CENTRALE RIETI</t>
  </si>
  <si>
    <t>RUZZO RETI SPA</t>
  </si>
  <si>
    <t>ATO 4 - LAZIO MERIDIONALE LATINA</t>
  </si>
  <si>
    <t>COMUNE DI CAMPO TURES</t>
  </si>
  <si>
    <t>ATO 5 - LAZIO MERIDIONALE FROSINONE</t>
  </si>
  <si>
    <t>ECO CENTER SPA</t>
  </si>
  <si>
    <t>ATO 1 - AQUILANO</t>
  </si>
  <si>
    <t>A.S.P. S.P.A.</t>
  </si>
  <si>
    <t>ATO 2 - MARSICANO</t>
  </si>
  <si>
    <t>Comune di Molini di Triora</t>
  </si>
  <si>
    <t>ATO 3 - PELIGNO ALTO SANGRO</t>
  </si>
  <si>
    <t>SOLOFRA SERVIZI SpA</t>
  </si>
  <si>
    <t>ATO 4 - PESCARA</t>
  </si>
  <si>
    <t>ACOSET</t>
  </si>
  <si>
    <t>ATO 5 - TERAMO</t>
  </si>
  <si>
    <t>Comune di Rio di Pusteria</t>
  </si>
  <si>
    <t>ATO 6 - CHIETI</t>
  </si>
  <si>
    <t>COMUNE DI USSITA</t>
  </si>
  <si>
    <t>ATO MOLISE</t>
  </si>
  <si>
    <t>UNIVERSITA' DEGLI STUDI DI NAPOLI FEDERICO II</t>
  </si>
  <si>
    <t>AMBITO DISTRETTUALE CALORE IRPINO</t>
  </si>
  <si>
    <t>COMUNE DI FIUMEFREDDO DI SICILIA</t>
  </si>
  <si>
    <t>AMBITO DISTRETTUALE NAPOLI</t>
  </si>
  <si>
    <t>COMUNE DI ROCCA PIA</t>
  </si>
  <si>
    <t>AMBITO DISTRETTUALE SELE</t>
  </si>
  <si>
    <t>COMUNE DI CLES</t>
  </si>
  <si>
    <t>AMBITO DISTRETTUALE SARNESE-VESUVIANO</t>
  </si>
  <si>
    <t>COMUNE DI PERDIFUMO</t>
  </si>
  <si>
    <t>AMBITO DISTRETTUALE CASERTA - TERRA DI LAVORO</t>
  </si>
  <si>
    <t>COMUNE DI MALLES VENOSTA</t>
  </si>
  <si>
    <t>ATO PUGLIA</t>
  </si>
  <si>
    <t>COMUNE DI RONCOBELLO</t>
  </si>
  <si>
    <t>ATO BASILICATA</t>
  </si>
  <si>
    <t>Romagna Acque Società delle Fonti S.p.A.</t>
  </si>
  <si>
    <t>ATO UNICO REGIONE CALABRIA</t>
  </si>
  <si>
    <t>COMUNE DI SAN GIULIANO DI PUGLIA</t>
  </si>
  <si>
    <t>ATO 1 - PALERMO</t>
  </si>
  <si>
    <t>COMUNE DI RICCIA</t>
  </si>
  <si>
    <t>ATO 2 - CATANIA</t>
  </si>
  <si>
    <t>COMUNE DI CHAMPDEPRAZ</t>
  </si>
  <si>
    <t>ATO 3 - MESSINA</t>
  </si>
  <si>
    <t>Comune di Cornedo all'Isarco</t>
  </si>
  <si>
    <t>ATO 4 - RAGUSA</t>
  </si>
  <si>
    <t>VERITAS SPA</t>
  </si>
  <si>
    <t>ATO 5 - ENNA</t>
  </si>
  <si>
    <t>Comune Moso in Passiria</t>
  </si>
  <si>
    <t>ATO 6 - CALTANISSETTA</t>
  </si>
  <si>
    <t>COMUNE DI PERCA</t>
  </si>
  <si>
    <t>ATO 7 - TRAPANI</t>
  </si>
  <si>
    <t>Gemeinde St. Leonhard in Passeier / Comune di San Leonardo in Passiria</t>
  </si>
  <si>
    <t>ATO 8 - SIRACUSA</t>
  </si>
  <si>
    <t>Gemeinde Luesen / Comune di Luson</t>
  </si>
  <si>
    <t>ATO 9 - AGRIGENTO</t>
  </si>
  <si>
    <t>UNIFLOTTE S.r.L.</t>
  </si>
  <si>
    <t>ATO SARDEGNA</t>
  </si>
  <si>
    <t>comune di Rasun-Anterselva</t>
  </si>
  <si>
    <t>COMUNE DI BASELGA DI PINE'</t>
  </si>
  <si>
    <t>COMUNE DI CARISOLO</t>
  </si>
  <si>
    <t>SOCIETA' METROPOLITANA ACQUE TORINO</t>
  </si>
  <si>
    <t>COMUNE DI MENDATICA</t>
  </si>
  <si>
    <t>Comune Città di Glorenza</t>
  </si>
  <si>
    <t>ETRA SPA</t>
  </si>
  <si>
    <t>Lereti S.p.A.</t>
  </si>
  <si>
    <t>CONSORZIO DI BONIFICA DELLA BARAGGIA BIELLESE E VERCELLESE</t>
  </si>
  <si>
    <t>IRETI S.p.A.</t>
  </si>
  <si>
    <t>Comunità Comprensoriale Val Venosta</t>
  </si>
  <si>
    <t>ACQUEDOTTO PUGLIESE SPA</t>
  </si>
  <si>
    <t>A2A CICLO IDRICO</t>
  </si>
  <si>
    <t>Gemeinde Terlan / Comune di Terlano</t>
  </si>
  <si>
    <t>Comune di Chiusa</t>
  </si>
  <si>
    <t>Comune di Chienes</t>
  </si>
  <si>
    <t>COMUNE DI LACES</t>
  </si>
  <si>
    <t>COMUNE DI SARENTINO</t>
  </si>
  <si>
    <t>Iren Acqua S.p.A.</t>
  </si>
  <si>
    <t>CONSORZIO PER L'ACQUEDOTTO DI AZZON</t>
  </si>
  <si>
    <t>Comune di Marlengo</t>
  </si>
  <si>
    <t>Comune di Verano</t>
  </si>
  <si>
    <t>Comune di Scena</t>
  </si>
  <si>
    <t>Comune di Lagundo</t>
  </si>
  <si>
    <t>Comune di Lasa</t>
  </si>
  <si>
    <t>Comune di Lana</t>
  </si>
  <si>
    <t>GEMEINDE JENESIEN / COMUNE DI SAN GENESIO ATESINO</t>
  </si>
  <si>
    <t>Gemeinde Villnöß / Comune di Funes</t>
  </si>
  <si>
    <t>Comune di Appiano sulla Strada del Vino</t>
  </si>
  <si>
    <t>Comune di Terento</t>
  </si>
  <si>
    <t>COMUNE DI CASTELLO TESINO</t>
  </si>
  <si>
    <t>COMUNE DI MIGNANO MONTE LUNGO</t>
  </si>
  <si>
    <t>ENTE ACQUE UMBRE-TOSCANE</t>
  </si>
  <si>
    <t>COMUNE DI GROTTE DI CASTRO</t>
  </si>
  <si>
    <t>COMUNE DI PESCOPENNATARO</t>
  </si>
  <si>
    <t>CO.R.D.A.R. VALSESIA spa</t>
  </si>
  <si>
    <t>ACQUEDOTTO VALTIGLIONE S.P.A.</t>
  </si>
  <si>
    <t>ENERGIA VERDE ED IDRICA SPA IN LIQUIDAZIONE</t>
  </si>
  <si>
    <t>COMUNE DI ACI CASTELLO</t>
  </si>
  <si>
    <t>GESTIONE ACQUA SPA</t>
  </si>
  <si>
    <t>COMUNE DI BRUSIMPIANO</t>
  </si>
  <si>
    <t>IRISACQUA SRL</t>
  </si>
  <si>
    <t>UNIACQUE SPA</t>
  </si>
  <si>
    <t>Comune di Cerveno</t>
  </si>
  <si>
    <t>Acque Toscane</t>
  </si>
  <si>
    <t>SERVIZIO IDRICO INTEGRATO S.C.p.A.</t>
  </si>
  <si>
    <t>SERVIZI IDRICI ETNEI S.P.A</t>
  </si>
  <si>
    <t>C.A.D.F. S.p.A.</t>
  </si>
  <si>
    <t>Consac Gestioni Idriche S.p.a.</t>
  </si>
  <si>
    <t>Gestione Servizi Sannio - GE.SE.SA.</t>
  </si>
  <si>
    <t>SACA SERVIZI AMBIENTALI CENTRO ABRUZZO</t>
  </si>
  <si>
    <t>ACQUEDOTTO LANGHE E ALPI CUNEESI SPA</t>
  </si>
  <si>
    <t>Acque di Casalotto S.p.A.</t>
  </si>
  <si>
    <t>CONSORZIO ACQUEDOTTISTICO MARSICANO SPA</t>
  </si>
  <si>
    <t>Umbra Acque S.p.A.</t>
  </si>
  <si>
    <t>SORGEAQUA S.R.L.</t>
  </si>
  <si>
    <t>CALSO SPA - COMUNI DELL'ACQUEDOTTO LANGHE SUD OCCIDENTALI SPA</t>
  </si>
  <si>
    <t>ACQUE CARCACI DEL FASANO SPA</t>
  </si>
  <si>
    <t>AZIENDA GARDESANA SERVIZI SPA</t>
  </si>
  <si>
    <t>VALLE ORBA DEPURAZIONE S.R.L.</t>
  </si>
  <si>
    <t>COMUNI RIUNITI BELFORTE MONFERRATO SRL</t>
  </si>
  <si>
    <t>A.M.A. S.p.A.</t>
  </si>
  <si>
    <t>EMILIAMBIENTE</t>
  </si>
  <si>
    <t>CORDAR SPA BIELLA SERVIZI</t>
  </si>
  <si>
    <t>ACQUE SUD S.R.L.</t>
  </si>
  <si>
    <t>GRAN SASSO ACQUA S.P.A.</t>
  </si>
  <si>
    <t>AUSINO S.P.A</t>
  </si>
  <si>
    <t>ASIS SALERNITANA RETI E IMPIANTI S.P.A.</t>
  </si>
  <si>
    <t>Comune di Capracotta</t>
  </si>
  <si>
    <t>Acque S.p.A.</t>
  </si>
  <si>
    <t>COMUNI RIUNITI SOCIETA' DI GESTIONE DI SERVIZI COMUNALI</t>
  </si>
  <si>
    <t>G.E.A.L. S.P.A. Gestione esercizio acquedotti Lucchesi</t>
  </si>
  <si>
    <t>GORI S.p.A.</t>
  </si>
  <si>
    <t>Realizzazione e gestione servizi pubblici locali spa, per brevità COGEIDE spa</t>
  </si>
  <si>
    <t>acquevenete spa</t>
  </si>
  <si>
    <t>ABM NEXT SRL</t>
  </si>
  <si>
    <t>Azienda Cuneese Dell' Acqua-Società per Azioni</t>
  </si>
  <si>
    <t>MONTAGNA2000</t>
  </si>
  <si>
    <t>BRIANZACQUE SRL</t>
  </si>
  <si>
    <t>Comune di Bojano</t>
  </si>
  <si>
    <t>COMUNE DI SANT'ARSENIO</t>
  </si>
  <si>
    <t>Società dell'Acqua Potabile S.r.l.</t>
  </si>
  <si>
    <t>AQUA SEPRIO SERVIZI SRL</t>
  </si>
  <si>
    <t>Azienda Servizi Municipalizzati di Merano Spa</t>
  </si>
  <si>
    <t>COMUNE DI FOSSALTO</t>
  </si>
  <si>
    <t>ORINVEST SRL</t>
  </si>
  <si>
    <t>ACEA MOLISE SRL</t>
  </si>
  <si>
    <t>Acque Veronesi s.c. a r.l.</t>
  </si>
  <si>
    <t>COMUNE DI BARASSO</t>
  </si>
  <si>
    <t>comune di monteroduni</t>
  </si>
  <si>
    <t>ACQUA NOVARA.VCO S.P.A.</t>
  </si>
  <si>
    <t>CAFC S.p.A.</t>
  </si>
  <si>
    <t>COMUNE DI MIRABELLO SANNITICO</t>
  </si>
  <si>
    <t>COMUNE DI SCILLATO</t>
  </si>
  <si>
    <t>COMUNE DI PESCHE</t>
  </si>
  <si>
    <t>Comune di Carlentini</t>
  </si>
  <si>
    <t>ALPI ACQUE</t>
  </si>
  <si>
    <t>ALTA LANGA SERVIZI S.P.A.</t>
  </si>
  <si>
    <t>A.C.Q.U.A. V.I.T.A.N.A.</t>
  </si>
  <si>
    <t>COMUNE DI CORTENO COLGI</t>
  </si>
  <si>
    <t>Tecnoedil S.p.A.</t>
  </si>
  <si>
    <t>Comune di Castello di Annone</t>
  </si>
  <si>
    <t>Società Intercomunale Servizi Idrici S.r.l.</t>
  </si>
  <si>
    <t>COMUNE DI BARZANA</t>
  </si>
  <si>
    <t>Idrablu</t>
  </si>
  <si>
    <t>HydroGEA spa</t>
  </si>
  <si>
    <t>COMUNE DI CASCIAGO</t>
  </si>
  <si>
    <t>COMUNE DI CIVITANOVA DEL SANNIO</t>
  </si>
  <si>
    <t>COMUNE DI POGGIO SANNITA</t>
  </si>
  <si>
    <t>CONSORZIO DEI COMUNI PER L'ACQUEDOTTO DEL MONFERRATO</t>
  </si>
  <si>
    <t>COMUNE VASTOGIRARDI</t>
  </si>
  <si>
    <t>A.P.M. SPA AZIENDA PLURISERVIZI MACERATA</t>
  </si>
  <si>
    <t>COMUNE DI AGNONE</t>
  </si>
  <si>
    <t>E.G.U.A. S.r.l.</t>
  </si>
  <si>
    <t>COMUNE DI CAZZAGO BRABBIA</t>
  </si>
  <si>
    <t>COMUNE DI SANGIANO</t>
  </si>
  <si>
    <t>MONDO ACQUA</t>
  </si>
  <si>
    <t>AZIENDA SERVIZI TOANO SRL UNIPERSONALE</t>
  </si>
  <si>
    <t>società acque dell'etna e di s.giacomo</t>
  </si>
  <si>
    <t>COMUNE DI MOTTA SANT'ANASTASIA</t>
  </si>
  <si>
    <t>COMUNE DI AZZIO</t>
  </si>
  <si>
    <t>nuove acque spa</t>
  </si>
  <si>
    <t>Comune di Colletorto</t>
  </si>
  <si>
    <t>COMUNE DI BESANO</t>
  </si>
  <si>
    <t>Comune di SAN MARTINO IN PENSILIS</t>
  </si>
  <si>
    <t>Comune di Mesenzana</t>
  </si>
  <si>
    <t>ACQUE PONTE DI FERRO S.n.c.dei SIGG. SANTAGATI</t>
  </si>
  <si>
    <t>COMUNE DI PORTO CERESIO</t>
  </si>
  <si>
    <t>SO.GEA</t>
  </si>
  <si>
    <t>COMUNE DI DURONIA</t>
  </si>
  <si>
    <t>COMUNE DI GAMBATESA</t>
  </si>
  <si>
    <t>Lamezia Multiservizi S.p.A.</t>
  </si>
  <si>
    <t>COMUNE DI CAMPOMARINO</t>
  </si>
  <si>
    <t>LARIANA DEPUR</t>
  </si>
  <si>
    <t>AMAP Spa</t>
  </si>
  <si>
    <t>Saronno Servizi S.p.a.</t>
  </si>
  <si>
    <t>AZIENDA SPECIALE COMUNI RIUNITI</t>
  </si>
  <si>
    <t>Acquedotto della Piana S.p.A.</t>
  </si>
  <si>
    <t>ACQUEDOTTO DEL FIORA SPA</t>
  </si>
  <si>
    <t>COMUNE DI CAIRATE</t>
  </si>
  <si>
    <t>Comune di Ceto</t>
  </si>
  <si>
    <t>GEMEINDE WELSCHNOFEN / COMUNE DI NOVA LEVANTE</t>
  </si>
  <si>
    <t>GAIA SPA</t>
  </si>
  <si>
    <t>SEBINO SERVIZI SRL</t>
  </si>
  <si>
    <t>COMUNE DI ALBAVILLA</t>
  </si>
  <si>
    <t>COMUNE DI CAMPOCHIARO</t>
  </si>
  <si>
    <t>CIIP Cicli Integrati Impianti Primari S.p.A.</t>
  </si>
  <si>
    <t>COMUNE DI LIZZANO IN BELVEDERE</t>
  </si>
  <si>
    <t>comune di mascalucia</t>
  </si>
  <si>
    <t>COMUNE DI MONTE CAVALLO</t>
  </si>
  <si>
    <t>COMUNE DI MONTEFALCONE NEL SANNIO</t>
  </si>
  <si>
    <t>COMUNE DI MONTESE</t>
  </si>
  <si>
    <t>Comune di Sortino</t>
  </si>
  <si>
    <t>COMUNE DI VISSO</t>
  </si>
  <si>
    <t>Comune di San Felice del Molise</t>
  </si>
  <si>
    <t>COMUNE DI MAFALDA</t>
  </si>
  <si>
    <t>Comune Costa Vescovato</t>
  </si>
  <si>
    <t>COMUNE DI SAN MANGO SUL CALORE (AV)</t>
  </si>
  <si>
    <t>CONSORZIO PER LA DEPURAZIONE DELLE ACQUE DI SCARICO DEL SAVONESE S.P.A.</t>
  </si>
  <si>
    <t>IDROAGRICOLA S.R.L</t>
  </si>
  <si>
    <t>PUBLIACQUA</t>
  </si>
  <si>
    <t>COMUNE DI CAPRIGLIA IRPINA</t>
  </si>
  <si>
    <t>ACQUE AURORA S.R.L.</t>
  </si>
  <si>
    <t>COMUNE  DI PIETRELCINA</t>
  </si>
  <si>
    <t>COMUNE DI PIANCOGNO</t>
  </si>
  <si>
    <t>COMUNE DI GAZZADA SCHIANNO</t>
  </si>
  <si>
    <t>ACQUALATINA SPA</t>
  </si>
  <si>
    <t>COMUNE DI BODIO LOMNAGO</t>
  </si>
  <si>
    <t>COMUNE DI GROTTOLELLA</t>
  </si>
  <si>
    <t>COMUNE DI TRIVENTO</t>
  </si>
  <si>
    <t>COMUNE DI OGGIONA CON SANTO STEFANO</t>
  </si>
  <si>
    <t>COMUNE DI PENTONE</t>
  </si>
  <si>
    <t>COMUNE DI TAVENNA</t>
  </si>
  <si>
    <t>COMUNE DI PARODI LIGURE</t>
  </si>
  <si>
    <t>COMUNE DI CIVIASCO</t>
  </si>
  <si>
    <t>COMUNE DI ACQUAVIVA COLLECROCE</t>
  </si>
  <si>
    <t>MM S.P.A.</t>
  </si>
  <si>
    <t>ACEA ATO 5 SPA</t>
  </si>
  <si>
    <t>ACQUE BUFARDO E TORREROSSA SRL</t>
  </si>
  <si>
    <t>ACQUAENNA S.C.P.A.</t>
  </si>
  <si>
    <t>Comune di ROTONDI</t>
  </si>
  <si>
    <t>COMUNE DI SAN GREGORIO MAGNO</t>
  </si>
  <si>
    <t>COMUNE DI CAMPOBASSO</t>
  </si>
  <si>
    <t>SOCIETA' PER LA CONDOTTA DI ACQUA POTABILE IN ALPIGNANO SRL</t>
  </si>
  <si>
    <t>COMUNE DI CASTELMAURO</t>
  </si>
  <si>
    <t>Società Acquedotti Tirreni</t>
  </si>
  <si>
    <t>COMUNE DI AOSTA</t>
  </si>
  <si>
    <t>CONSORZIO PER LO SVILUPPO IND.LE DELLA VALLE DEL BIFERNO</t>
  </si>
  <si>
    <t>COMUNE DI TERNATE</t>
  </si>
  <si>
    <t>A.C.A. S.P.A. IN HOUSE PROVIDING</t>
  </si>
  <si>
    <t>SO.GE.IM. di Sorbello Rosario &amp; C.</t>
  </si>
  <si>
    <t>COMUNE DI PIETRARUBBIA</t>
  </si>
  <si>
    <t>Comune di Muccia</t>
  </si>
  <si>
    <t>SOCIETA' ACQUE IRRIGUE ACESE (S.A.I.A)</t>
  </si>
  <si>
    <t>COMUNE DI CAMPODIPIETRA</t>
  </si>
  <si>
    <t>sub ATO Monte Emilius - Piana d'Aosta</t>
  </si>
  <si>
    <t>UNITÉ DES COMMUNES VALDÔTAINES GRAND-COMBIN</t>
  </si>
  <si>
    <t>COMUNE DI SERRAVALLE DI CHIENTI</t>
  </si>
  <si>
    <t>COMUNE DI PETTORANELLO DEL MOLISE</t>
  </si>
  <si>
    <t>COMUNE DI VERCANA</t>
  </si>
  <si>
    <t>MEDIO CHIAMPO SPA</t>
  </si>
  <si>
    <t>COMUNE DI VOLTAGGIO</t>
  </si>
  <si>
    <t>COMUNE DI ARNAD</t>
  </si>
  <si>
    <t>Comune di Quart</t>
  </si>
  <si>
    <t>Consorzio idrico Terra di Lavoro</t>
  </si>
  <si>
    <t>COMUNE DI FIASTRA</t>
  </si>
  <si>
    <t>ACQUE IRRIGUE PONTE DI FERRO DI SCIUTO GIUSEPPE E C. SNC</t>
  </si>
  <si>
    <t>Unité des Communes Valdôtaines Grand-Paradis</t>
  </si>
  <si>
    <t>ACEA ATO2 S.P.A.</t>
  </si>
  <si>
    <t>COMUNE DI CALASCIO (AQ)</t>
  </si>
  <si>
    <t>COMUNE DI VALLEDOLMO</t>
  </si>
  <si>
    <t>COMUNE DI MONVALLE</t>
  </si>
  <si>
    <t>COMUNE DI TEMU'</t>
  </si>
  <si>
    <t>MEDIALE S.R.L.</t>
  </si>
  <si>
    <t>COMUNE DI PALAZZOLO ACREIDE</t>
  </si>
  <si>
    <t>Flavia Servizi S.r.l.</t>
  </si>
  <si>
    <t>INTEGRA CONCESSIONI SRL</t>
  </si>
  <si>
    <t>PAVIA ACQUE S.C.A.R.L.</t>
  </si>
  <si>
    <t>Siciliacque S.p.A.</t>
  </si>
  <si>
    <t>IDRICA</t>
  </si>
  <si>
    <t>COMUNE DI PETACCIATO</t>
  </si>
  <si>
    <t>Unione Comuni dell'Alta Valle Camonica</t>
  </si>
  <si>
    <t>COMUNE DI ANZANO DEL PARCO</t>
  </si>
  <si>
    <t>Acquedotto Consortile Biviere</t>
  </si>
  <si>
    <t>AM.TER S.p.A.</t>
  </si>
  <si>
    <t>COMUNE DI FERNO</t>
  </si>
  <si>
    <t>SOCIETA' GESTIONE ACQUEDOTTI - MONITORAGGI - IMPIANTI DEPURAZIONE  SGAMID  S.R.L.</t>
  </si>
  <si>
    <t>COMUNE DI PIANELLO DEL LARIO</t>
  </si>
  <si>
    <t>ACQUA CAMPANIA SPA</t>
  </si>
  <si>
    <t>COMUNE DI SAINT-OYEN</t>
  </si>
  <si>
    <t>COMUNE DI RAGUSA</t>
  </si>
  <si>
    <t>Comune di Rosolini</t>
  </si>
  <si>
    <t>COMUNE DI SEPINO</t>
  </si>
  <si>
    <t>BUCARO GIUSEPPE E C. S.R.L.</t>
  </si>
  <si>
    <t>TENNACOLA SPA</t>
  </si>
  <si>
    <t>Iren Acqua Tigullio S.p.A.</t>
  </si>
  <si>
    <t>Comune di Santa Maria Capua Vetere</t>
  </si>
  <si>
    <t>Viacqua S.p.A.</t>
  </si>
  <si>
    <t>acque matteo scuderi eredi del dr s. scuderi &amp;  C.</t>
  </si>
  <si>
    <t>CIRONE DOMENICO &amp; C. SAS</t>
  </si>
  <si>
    <t>SOGEA srl</t>
  </si>
  <si>
    <t>COMUNE DI FIGINO SERENZA</t>
  </si>
  <si>
    <t>Acam Acque SpA</t>
  </si>
  <si>
    <t>CAP HOLDING S.P.A</t>
  </si>
  <si>
    <t>COMUNE DI ROCCAVIVARA</t>
  </si>
  <si>
    <t>COMUNE DI CAPRAROLA</t>
  </si>
  <si>
    <t>COMUNE ALZATE BRIANZA</t>
  </si>
  <si>
    <t>COMUNE DI TUSCANIA</t>
  </si>
  <si>
    <t>Comune di Buscemi</t>
  </si>
  <si>
    <t>Comune di Etroubles</t>
  </si>
  <si>
    <t>Acquedotti Ing. Sarino Pavone S.p.A.</t>
  </si>
  <si>
    <t>Comune di Strembo</t>
  </si>
  <si>
    <t>Comune di Bocenago</t>
  </si>
  <si>
    <t>Comune di Massimeno</t>
  </si>
  <si>
    <t>CAV. GIROLAMO GUERCIA COSTRUZIONI SRL</t>
  </si>
  <si>
    <t>SORICAL S.p.A. in liquidazione</t>
  </si>
  <si>
    <t>ALTO TREVIGIANO SERVIZI S.P.A.</t>
  </si>
  <si>
    <t>ACQUEDOTTO ROCCA ROSSA S.R.L.</t>
  </si>
  <si>
    <t>COMUNE DI VENAFRO</t>
  </si>
  <si>
    <t>Comune di Issime</t>
  </si>
  <si>
    <t>COMUNE DI AYMAVILLES</t>
  </si>
  <si>
    <t>Comune di Cassaro</t>
  </si>
  <si>
    <t>COMUNE DI SALCITO</t>
  </si>
  <si>
    <t>COMUNE DI ALLEIN</t>
  </si>
  <si>
    <t>COMUNE DI CADERZONE TERME</t>
  </si>
  <si>
    <t>COMUNE DI SAINT-RHEMY-EN-BOSSES</t>
  </si>
  <si>
    <t>GARAFFO  &amp; SCILIO S.P.A.</t>
  </si>
  <si>
    <t>ACQUE LO SCIUTO S.R.L.</t>
  </si>
  <si>
    <t>COMUNE DI GRESSAN</t>
  </si>
  <si>
    <t>comune di saint-marcel</t>
  </si>
  <si>
    <t>COMUNE DI COMO</t>
  </si>
  <si>
    <t>COMUNE DI VILLENEUVE</t>
  </si>
  <si>
    <t>COMUNE DI LA SALLE</t>
  </si>
  <si>
    <t>COMUNE DI SAVIGNANO IRPINO</t>
  </si>
  <si>
    <t>Acquedotto San Lazzaro S.p.A.</t>
  </si>
  <si>
    <t>COMUNE DI VARESE</t>
  </si>
  <si>
    <t>COMUNE DI SAINT-DENIS</t>
  </si>
  <si>
    <t>SO.GE.A. S.R.L. SOCIETA' GESTIONE ACQUEDOTTI</t>
  </si>
  <si>
    <t>SE.I.DA. Servizi Idrici ed Ambientali S.r.l.</t>
  </si>
  <si>
    <t>comune di scontrone</t>
  </si>
  <si>
    <t>Acquedotti Scpa</t>
  </si>
  <si>
    <t>COMUNE DI MORAZZONE</t>
  </si>
  <si>
    <t>COMUNE DI TERZOLAS</t>
  </si>
  <si>
    <t>Ottogas Srl</t>
  </si>
  <si>
    <t>COMUNE DI GORNATE OLONA</t>
  </si>
  <si>
    <t>COMUNE DI RONZO-CHIENIS</t>
  </si>
  <si>
    <t>Comune di Soraga di Fassa</t>
  </si>
  <si>
    <t>COMUNE DI LIVO</t>
  </si>
  <si>
    <t>COMUNE DI LURAGO D'ERBA</t>
  </si>
  <si>
    <t>COMUNE DI PEIO</t>
  </si>
  <si>
    <t>COMUNE DI CAVEDAGO</t>
  </si>
  <si>
    <t>comune di solbiate arno</t>
  </si>
  <si>
    <t>COMUNE DI MONGUZZO</t>
  </si>
  <si>
    <t>COMUNE DI TEORA</t>
  </si>
  <si>
    <t>COMUNE DI CHIUSANO DI SAN DOMENICO</t>
  </si>
  <si>
    <t>COMUNE DI MONTENERO VAL COCCHIARA</t>
  </si>
  <si>
    <t>Comune di Incudine</t>
  </si>
  <si>
    <t>COMUNE DI CANAL SAN BOVO</t>
  </si>
  <si>
    <t>COMUNE DI SANZENO</t>
  </si>
  <si>
    <t>Comune di Pelugo</t>
  </si>
  <si>
    <t>COMUNE VENEGONO INFERIORE</t>
  </si>
  <si>
    <t>REGIONE CAMPANIA</t>
  </si>
  <si>
    <t>Comune di Cavaria con Premezzo</t>
  </si>
  <si>
    <t>ING. ANTONIO FIORE E C.</t>
  </si>
  <si>
    <t>ABC Acqua Bene Comune Napoli a.s.</t>
  </si>
  <si>
    <t>Comune di Pollein</t>
  </si>
  <si>
    <t>COMUNE DI CIMONE</t>
  </si>
  <si>
    <t>COMUNE DI VARANO BORGHI</t>
  </si>
  <si>
    <t>COMUNE DI PANCHIA'</t>
  </si>
  <si>
    <t>COMUNE DI SPORMAGGIORE</t>
  </si>
  <si>
    <t>ALTO CALORE SERVIZI S.P.A.</t>
  </si>
  <si>
    <t>COMUNE DI COCQUIO-TREVISAGO</t>
  </si>
  <si>
    <t>COMUNE DI MONNO</t>
  </si>
  <si>
    <t>Comune di Dambel</t>
  </si>
  <si>
    <t>Comune di Monte San Giacomo</t>
  </si>
  <si>
    <t>COMUNE DI MEZZANA</t>
  </si>
  <si>
    <t>COMUNE DI FIEROZZO / GAMOA' VA VLAROTZ</t>
  </si>
  <si>
    <t>COMUNE DI ALBESE CON CASSANO</t>
  </si>
  <si>
    <t>COMUNE DI LAMBRUGO</t>
  </si>
  <si>
    <t>COMUNE DI CARUGO</t>
  </si>
  <si>
    <t>comune di campagna</t>
  </si>
  <si>
    <t>COMUNE DI BUONABITACOLO</t>
  </si>
  <si>
    <t>COMUNE DI CALDONAZZO</t>
  </si>
  <si>
    <t>COMUNE DI BONEFRO</t>
  </si>
  <si>
    <t>CONSORZIO ACQUEDOTTO MADONNA DELLA ROCCHETTA</t>
  </si>
  <si>
    <t>COMUNE DI CASTRONNO</t>
  </si>
  <si>
    <t>COMUNE DI AROSIO</t>
  </si>
  <si>
    <t>COMUNE DI TORELLA DEL SANNIO</t>
  </si>
  <si>
    <t>Ente Acquedotti Siciliani in liquidazione coatta amministrativa</t>
  </si>
  <si>
    <t>Comune di Carrosio</t>
  </si>
  <si>
    <t>COMUNE di SAnza</t>
  </si>
  <si>
    <t>COMUNE DI RIGNANO FLAMINIO</t>
  </si>
  <si>
    <t>COMUNE DI CAVARENO</t>
  </si>
  <si>
    <t>ABBANOA SPA</t>
  </si>
  <si>
    <t>COMUNE DI SFRUZ</t>
  </si>
  <si>
    <t>comune di lozza</t>
  </si>
  <si>
    <t>COMUNE DI BONDONE</t>
  </si>
  <si>
    <t>Comune Lipari</t>
  </si>
  <si>
    <t>comune di pantelleria</t>
  </si>
  <si>
    <t>COMUNE DI TERRAGNOLO</t>
  </si>
  <si>
    <t>COMUNE DI IVANO FRACENA</t>
  </si>
  <si>
    <t>comune di torre bormida</t>
  </si>
  <si>
    <t>COMUNE DI CARZANO</t>
  </si>
  <si>
    <t>COMUNE DI RUMO</t>
  </si>
  <si>
    <t>COMUNE DI TRAMBILENO</t>
  </si>
  <si>
    <t>COMUNE DI VIGNOLA FALESINA</t>
  </si>
  <si>
    <t>COMUNE DI SARNONICO</t>
  </si>
  <si>
    <t>COMUNE DI RUFFRE' MENDOLA</t>
  </si>
  <si>
    <t>COMUNE DI PINZOLO</t>
  </si>
  <si>
    <t>COMUNE DI GIOVO</t>
  </si>
  <si>
    <t>COMUNE DI RONZONE</t>
  </si>
  <si>
    <t>COMUNE DI FERRAZZANO</t>
  </si>
  <si>
    <t>COMUNE DI FIAVE'</t>
  </si>
  <si>
    <t>Comune di Buguggiate</t>
  </si>
  <si>
    <t>COMUNE DI CAPRIANA</t>
  </si>
  <si>
    <t>COMUNE DI CALCERANICA AL LAGO</t>
  </si>
  <si>
    <t>COMUNE DI MONTEMITRO</t>
  </si>
  <si>
    <t>COMUNE DI GIUSTINO</t>
  </si>
  <si>
    <t>COMUNE DI SEGONZANO</t>
  </si>
  <si>
    <t>Comune di Silandro</t>
  </si>
  <si>
    <t>COMUNE DI SCURELLE</t>
  </si>
  <si>
    <t>COMUNE DI TELVE</t>
  </si>
  <si>
    <t>COMUNE DI CINTE TESINO</t>
  </si>
  <si>
    <t>COMUNE DI CAVEDINE</t>
  </si>
  <si>
    <t>Comune di Macchia d'Isernia</t>
  </si>
  <si>
    <t>COMUNE DI COGNE</t>
  </si>
  <si>
    <t>COMUNE DI DENNO</t>
  </si>
  <si>
    <t>COMUNE DI CALVI RISORTA</t>
  </si>
  <si>
    <t>Comune di Arco</t>
  </si>
  <si>
    <t>COMUNE DI COMMEZZADURA</t>
  </si>
  <si>
    <t>COMUNE DI TELVE DI SOPRA</t>
  </si>
  <si>
    <t>COMUNE DI LEDRO</t>
  </si>
  <si>
    <t>COMUNE DI MOENA</t>
  </si>
  <si>
    <t>comune di riposto</t>
  </si>
  <si>
    <t>COMUNE DI LONA LASES</t>
  </si>
  <si>
    <t>COMUNE DI CAMPITELLO DI FASSA</t>
  </si>
  <si>
    <t>COMUNE DI SPIAZZO</t>
  </si>
  <si>
    <t>COMUNE DI NUS</t>
  </si>
  <si>
    <t>COMUNE DI LAVARONE</t>
  </si>
  <si>
    <t>ACQUE MADONNA DEL CARMINE</t>
  </si>
  <si>
    <t>SICAM SRL CON SOCIO UNICO</t>
  </si>
  <si>
    <t>Comune di Brentonico</t>
  </si>
  <si>
    <t>COMUNE DI DOBBIACO</t>
  </si>
  <si>
    <t>COMUNE DI MAZZIN</t>
  </si>
  <si>
    <t>TALETE S.P.A.</t>
  </si>
  <si>
    <t>COMUNE DI TURATE</t>
  </si>
  <si>
    <t>acquedotti  U.C.C.</t>
  </si>
  <si>
    <t>COMUNE DI RABBI</t>
  </si>
  <si>
    <t>ACQUEDOTTO POIANA S.P.A.</t>
  </si>
  <si>
    <t>Comune di Albissola Marina</t>
  </si>
  <si>
    <t>Comune di Cassano Valcuvia</t>
  </si>
  <si>
    <t>Comune di Mercogliano</t>
  </si>
  <si>
    <t>COMUNE DI CAMPODENNO</t>
  </si>
  <si>
    <t>COMUNE DI CASTELLO CABIAGLIO</t>
  </si>
  <si>
    <t>COMUNE DI CASORATE SEMPIONE</t>
  </si>
  <si>
    <t>Comune di Monreale</t>
  </si>
  <si>
    <t>Comune di Varazze</t>
  </si>
  <si>
    <t>COMUNE DI ORATINO</t>
  </si>
  <si>
    <t>FRATELLI  GRASSI  NICOTRA  ACQUE</t>
  </si>
  <si>
    <t>S.A.S.I. S.p.A.</t>
  </si>
  <si>
    <t>ACQUE DI CALTANISSETTA SPA</t>
  </si>
  <si>
    <t>COMUNE DI MISTERBIANCO</t>
  </si>
  <si>
    <t>Marktgemeinde Kaltern an der Weinstraße / Comune di Caldaro sulla strada del vino</t>
  </si>
  <si>
    <t>COMUNE DI EGNA</t>
  </si>
  <si>
    <t>COMUNE DI PRATO ALLO STELVIO</t>
  </si>
  <si>
    <t>SIDRA S.P.A.</t>
  </si>
  <si>
    <t>Comune di Racines</t>
  </si>
  <si>
    <t>SOCIETA' ACQUA LODIGIANA SRL</t>
  </si>
  <si>
    <t>COMUNE DI PELLIZZANO</t>
  </si>
  <si>
    <t>Comune di Afragola</t>
  </si>
  <si>
    <t>COMUNE DI STORO</t>
  </si>
  <si>
    <t>COMUNE DI MEZZANO</t>
  </si>
  <si>
    <t>COMUNE NAGO-TORBOLE</t>
  </si>
  <si>
    <t>COMUNE DI CANAZEI</t>
  </si>
  <si>
    <t>COMUNE DI STENICO</t>
  </si>
  <si>
    <t>COMUNE DI CASTEL CONDINO</t>
  </si>
  <si>
    <t>COMUNE DI BIENO</t>
  </si>
  <si>
    <t>COMUNE DI NOGAREDO</t>
  </si>
  <si>
    <t>COMUNE DI VILLA LAGARINA</t>
  </si>
  <si>
    <t>COMUNE DI TENNO</t>
  </si>
  <si>
    <t>COMUNE DI BLEGGIO SUPERIORE</t>
  </si>
  <si>
    <t>acquedotto lucano s.p.a.</t>
  </si>
  <si>
    <t>COMUNE DI VALLARSA</t>
  </si>
  <si>
    <t>COMUNE DI POMAROLO</t>
  </si>
  <si>
    <t>COMUNE DI ROMENO</t>
  </si>
  <si>
    <t>COMUNE DI COMANO TERME</t>
  </si>
  <si>
    <t>COMUNE DI ZIANO DI FIEMME</t>
  </si>
  <si>
    <t>COMUNE DI ACI CATENA</t>
  </si>
  <si>
    <t>S.ED.A. S.R.L. SOCIETA' EDUZIONE ACQUE</t>
  </si>
  <si>
    <t>COMUNE DI IMER</t>
  </si>
  <si>
    <t>INFERNOTTO ACQUA SRL</t>
  </si>
  <si>
    <t>COMUNE DI TRAPANI</t>
  </si>
  <si>
    <t>COMUNE DI BRUSSON</t>
  </si>
  <si>
    <t>COMUNE CHALLAND-SAINT-VICTOR</t>
  </si>
  <si>
    <t>COMUNE DI CASTELVETERE IN VAL FORTORE</t>
  </si>
  <si>
    <t>COMUNE DI BAGNOLI IRPINO</t>
  </si>
  <si>
    <t>COMUNE DI POGNANA LARIO</t>
  </si>
  <si>
    <t>COMUNE DI ANTEY-SAINT-ANDRE</t>
  </si>
  <si>
    <t>COMUNE DI FOLGARIA</t>
  </si>
  <si>
    <t>Comune di Senale - San Felice</t>
  </si>
  <si>
    <t>Comune di Avelengo</t>
  </si>
  <si>
    <t>Comune di Ton</t>
  </si>
  <si>
    <t>COMUNE DI POGGIO BUSTONE</t>
  </si>
  <si>
    <t>Comune di Martello</t>
  </si>
  <si>
    <t>Comune di Castelrotto</t>
  </si>
  <si>
    <t>Comune di Barbiano</t>
  </si>
  <si>
    <t>COMUNE DI CANTALUPO IN SABINA</t>
  </si>
  <si>
    <t>Comune di Valdaora</t>
  </si>
  <si>
    <t>Comunità Comprensoriale Valle Isarco</t>
  </si>
  <si>
    <t>COMUNE DI ALDINO</t>
  </si>
  <si>
    <t>Comune di Monguelfo-Tesido</t>
  </si>
  <si>
    <t>COMUNE DI TIROLO</t>
  </si>
  <si>
    <t>Comune di Cermes</t>
  </si>
  <si>
    <t>Comune di Gargazzone</t>
  </si>
  <si>
    <t>COMUNE DI POSTAL</t>
  </si>
  <si>
    <t>COMUNE DI DRO</t>
  </si>
  <si>
    <t>Comune San Martino in Passiria</t>
  </si>
  <si>
    <t>Comune di Ora</t>
  </si>
  <si>
    <t>COMUNE DI CASTELNUOVO</t>
  </si>
  <si>
    <t>SERVIZI COMUNALI ASSOCIATI SRL</t>
  </si>
  <si>
    <t>Comunità comprensoriale Wipptal</t>
  </si>
  <si>
    <t>COMUNE DI FENIS</t>
  </si>
  <si>
    <t>Comune di Poggio San Lorenzo</t>
  </si>
  <si>
    <t>COMUNE DI POZZAGLIA SABINA</t>
  </si>
  <si>
    <t>ARA PUSTERIA SPA</t>
  </si>
  <si>
    <t>COMUNE DI STIMIGLIANO</t>
  </si>
  <si>
    <t>COMUNE DI SAINT-NICOLAS</t>
  </si>
  <si>
    <t>Comune di Valle Aurina</t>
  </si>
  <si>
    <t>COMUNE DI CEVO</t>
  </si>
  <si>
    <t>COMUNE DI CASTEL DI LUCIO</t>
  </si>
  <si>
    <t>comune di ollomont</t>
  </si>
  <si>
    <t>COMUNE DI ALBIANO</t>
  </si>
  <si>
    <t>COMUNE DI CASTELVERDE</t>
  </si>
  <si>
    <t>COMUNE DI PIEVE TESINO</t>
  </si>
  <si>
    <t>COMUNE DI LA MAGDELEINE</t>
  </si>
  <si>
    <t>COMUNE DI VALGRISENCHE</t>
  </si>
  <si>
    <t>COMUNE DI LAVENO MOMBELLO</t>
  </si>
  <si>
    <t>COMUNE DI CHALLAND SAINT ANSELME</t>
  </si>
  <si>
    <t>COMUNE DI AYAS</t>
  </si>
  <si>
    <t>societa coop per utenti d´acqua potabile Eores</t>
  </si>
  <si>
    <t>COMUNE DI SAMONE</t>
  </si>
  <si>
    <t>COMUNE DI BEDOLLO</t>
  </si>
  <si>
    <t>COOPERATIVA ACQUA POTABILE SAN MICHELE-APPIANO</t>
  </si>
  <si>
    <t>Comune di Fortezza</t>
  </si>
  <si>
    <t>Comune di San Pancrazio</t>
  </si>
  <si>
    <t>COMUNE DI MONTE SAN GIOVANNI IN SABINA</t>
  </si>
  <si>
    <t>COMUNE DI JOVENCAN</t>
  </si>
  <si>
    <t>S.I.I. S.P.A.SERVIZIO IDRICO INTEGRATO DEL BIELLESE E VERCELLESE</t>
  </si>
  <si>
    <t>Acquedotto Soc.coop. Neptunia Siusi</t>
  </si>
  <si>
    <t>COMUNE DI GRESSONEY-LA-TRINITE'</t>
  </si>
  <si>
    <t>COMUNE DI CHARVENSOD</t>
  </si>
  <si>
    <t>Comune di Stelvio</t>
  </si>
  <si>
    <t>Comune di Meltina</t>
  </si>
  <si>
    <t>COMUNE DI NATURNO</t>
  </si>
  <si>
    <t>Comune di Fié allo Sciliar</t>
  </si>
  <si>
    <t>Comune di Falzes</t>
  </si>
  <si>
    <t>COMUNE DI CORTACCIA SULLA STRADA DEL VINO</t>
  </si>
  <si>
    <t>Comune di Villabassa</t>
  </si>
  <si>
    <t>COMUNE DI EMARESE</t>
  </si>
  <si>
    <t>Comune di Ortisei</t>
  </si>
  <si>
    <t>COMUNE DI VELTURNO</t>
  </si>
  <si>
    <t>Comune di Bronzolo</t>
  </si>
  <si>
    <t>COMUNE DI RHEMES-NOTRE-DAME</t>
  </si>
  <si>
    <t>COMUNE DI SAN CANDIDO</t>
  </si>
  <si>
    <t>COMUNE DI TERMENO SULLA STRADA DEL VINO</t>
  </si>
  <si>
    <t>COMUNE DI SESTO</t>
  </si>
  <si>
    <t>Comune Badia</t>
  </si>
  <si>
    <t>Comune di Anterivo</t>
  </si>
  <si>
    <t>COMUNE DI RHEMES-SAINT-GEORGES</t>
  </si>
  <si>
    <t>COMUNE DI AVISE</t>
  </si>
  <si>
    <t>Comune di Proves</t>
  </si>
  <si>
    <t>Comune di Tesimo</t>
  </si>
  <si>
    <t>Comune di Lauregno</t>
  </si>
  <si>
    <t>COMUNE DI GAIS</t>
  </si>
  <si>
    <t>COMUNE DI VALTOURNENCHE</t>
  </si>
  <si>
    <t>Comune di Santa Cristina Val Gardena</t>
  </si>
  <si>
    <t>COMUNE DI ARVIER</t>
  </si>
  <si>
    <t>Comune di Villandro</t>
  </si>
  <si>
    <t>Comune di Rodengo</t>
  </si>
  <si>
    <t>Consorzio per acqua potabile</t>
  </si>
  <si>
    <t>COMUNE DI RONCEGNO TERME</t>
  </si>
  <si>
    <t>Comune di Brennero</t>
  </si>
  <si>
    <t>Comune di Ultimo</t>
  </si>
  <si>
    <t>COMUNE DI SENALES</t>
  </si>
  <si>
    <t>COMUNE DI SELVA DEI MOLINI</t>
  </si>
  <si>
    <t>COMUNE DI VADENA</t>
  </si>
  <si>
    <t>Comune di Cortina sulla strada del vino</t>
  </si>
  <si>
    <t>Comune di Predoi</t>
  </si>
  <si>
    <t>Comune di Varna</t>
  </si>
  <si>
    <t>COMUNE DI TRODENA NEL PARCO NATURALE</t>
  </si>
  <si>
    <t>Società Cooperativa Energie Pfundres</t>
  </si>
  <si>
    <t>COMUNE DI SAN LORENZO DI SEBATO</t>
  </si>
  <si>
    <t>Comune di Montagna</t>
  </si>
  <si>
    <t>Comune Magrè sulla strada del vino</t>
  </si>
  <si>
    <t>Comune di San Martino in Badia</t>
  </si>
  <si>
    <t>Comune di Renon</t>
  </si>
  <si>
    <t>COMUNE DI SOVER</t>
  </si>
  <si>
    <t>COMUNE DI NOVALEDO</t>
  </si>
  <si>
    <t>Comune di Braies</t>
  </si>
  <si>
    <t>TRINKWASSERGENOSSENSCHAFT MISSIAN - UNTERRAIN</t>
  </si>
  <si>
    <t>Comune La Valle</t>
  </si>
  <si>
    <t>ACQUEDOTTO DEL CARSO S.P.A. -  KRASKI VODOVOD D.D.</t>
  </si>
  <si>
    <t>COMUNE DI OSPEDALETTO</t>
  </si>
  <si>
    <t>Comune di Plaus</t>
  </si>
  <si>
    <t>COMUNE DI VERRAYES</t>
  </si>
  <si>
    <t>ASBUC SPINGA</t>
  </si>
  <si>
    <t>COMUNE DI BRISSOGNE</t>
  </si>
  <si>
    <t>Comune di Val di Vizze</t>
  </si>
  <si>
    <t>COMUNE DI VALFLORIANA</t>
  </si>
  <si>
    <t>Trinkwassergenossenschaft Reischach m.b.H</t>
  </si>
  <si>
    <t>COMUNE DI MORGEX</t>
  </si>
  <si>
    <t>Comune Valle di Casies</t>
  </si>
  <si>
    <t>COMUNE DI SAINT-PIERRE</t>
  </si>
  <si>
    <t>COMUNE DI LA THUILE</t>
  </si>
  <si>
    <t>comune di Capitignano</t>
  </si>
  <si>
    <t>COMUNE DI CHAMBAVE</t>
  </si>
  <si>
    <t>Trink- und Löschwasserinteressentschaft Karnol</t>
  </si>
  <si>
    <t>comune di sarre</t>
  </si>
  <si>
    <t>COMUNE DI SALORNO</t>
  </si>
  <si>
    <t>COMUNE DI SPINETE</t>
  </si>
  <si>
    <t>COMUNE DI CASTELBELLO-CIARDES</t>
  </si>
  <si>
    <t>COMUNE DI SANT'ANGELO LIMOSANO</t>
  </si>
  <si>
    <t>Acquedotto Cooperativo di Fié allo Sciliar</t>
  </si>
  <si>
    <t>comune di frassilongo</t>
  </si>
  <si>
    <t>COMUNE DI COLLE D'ANCHISE</t>
  </si>
  <si>
    <t>COMUNE DI MONTJOVET</t>
  </si>
  <si>
    <t>COMUNE DI SAN BIASE</t>
  </si>
  <si>
    <t>COMUNE DI SAN MASSIMO</t>
  </si>
  <si>
    <t>Trinkwassergenossenschaft von Aufhofen</t>
  </si>
  <si>
    <t>Bodenverbesserungskonsortium Penon - Cons. Migl. Fond. Penone</t>
  </si>
  <si>
    <t>COMUNE DI CASTROPIGNANO</t>
  </si>
  <si>
    <t>COMUNE DI SAN POLO MATESE</t>
  </si>
  <si>
    <t>Società cooperativa acquedotto Laion/Villa</t>
  </si>
  <si>
    <t>TRINKWASSER-GENOSSENSCHAFT ST.PAULS BERG</t>
  </si>
  <si>
    <t>COMUNE DI CASTELFRANCO IN MISCANO</t>
  </si>
  <si>
    <t>Comune di Laion - Gemeinde Lajen</t>
  </si>
  <si>
    <t>Provincia Autonoma di Trento - Agenzia per la Depurazione - Servizio Gestione degli Impianti</t>
  </si>
  <si>
    <t>SE.COM.spa</t>
  </si>
  <si>
    <t>Trinkwasserinteressentschaft Großberg-Meransen</t>
  </si>
  <si>
    <t>COOPERATIVA PER L'ACQUA POTABILE DI SAN COSTANTINO DI FIE'</t>
  </si>
  <si>
    <t>Comune di San Giovanni in Galdo</t>
  </si>
  <si>
    <t>COMUNE DI GUARDIAREGIA</t>
  </si>
  <si>
    <t>COMUNE DI ALBANELLA</t>
  </si>
  <si>
    <t>COMUNE DI CERCEPICCOLA</t>
  </si>
  <si>
    <t>Comune di Pré Saint Didier</t>
  </si>
  <si>
    <t>TRINKWASSERINTERESSENTSCHAFT PERDONIG/GAID</t>
  </si>
  <si>
    <t>COMUNE PAGANICO SABINO</t>
  </si>
  <si>
    <t>Trinkwasserinteressentschaft Albeins</t>
  </si>
  <si>
    <t>COMUNE DI ROISAN</t>
  </si>
  <si>
    <t>COMUNE DI GIGNOD</t>
  </si>
  <si>
    <t>COMUNE DI CROVIANA</t>
  </si>
  <si>
    <t>Comune di Andriano</t>
  </si>
  <si>
    <t>COMUNE DI SAINT-CHRISTOPHE</t>
  </si>
  <si>
    <t>Amm.ne Separata Beni Usi Civici (ASBUC) della Frazione di Valles</t>
  </si>
  <si>
    <t>Comune di Selva di Val Gardena</t>
  </si>
  <si>
    <t>COMUNE DI CHATILLON</t>
  </si>
  <si>
    <t>COMUNE DI NOVA PONENTE</t>
  </si>
  <si>
    <t>COMUNE DI CAVIZZANA</t>
  </si>
  <si>
    <t>COMUNE DI CARINARO</t>
  </si>
  <si>
    <t>COMUNE DI INTROD</t>
  </si>
  <si>
    <t>Comune di Valsavarenche</t>
  </si>
  <si>
    <t>Comune di Ronchi Valsugana</t>
  </si>
  <si>
    <t>COMUNE DI TORCEGNO</t>
  </si>
  <si>
    <t>COMUNE DI GANGI</t>
  </si>
  <si>
    <t>COMUNE DI PONTEY</t>
  </si>
  <si>
    <t>COMUNE DI BEDERO VALCUVIA</t>
  </si>
  <si>
    <t>COMUNE DI VIONE</t>
  </si>
  <si>
    <t>COMUNE DI ROURE</t>
  </si>
  <si>
    <t>COMUNE DI DOUES</t>
  </si>
  <si>
    <t>COMUNE DI PERRERO</t>
  </si>
  <si>
    <t>Comune di Maslianico</t>
  </si>
  <si>
    <t>Comune di Fenestrelle</t>
  </si>
  <si>
    <t>Comune di Salza di Pinerolo</t>
  </si>
  <si>
    <t>COMUNE DI BRONTE</t>
  </si>
  <si>
    <t>Sistemi Salerno - Servizi idrici Spa</t>
  </si>
  <si>
    <t>Comune di Prali</t>
  </si>
  <si>
    <t>Comune di Laives</t>
  </si>
  <si>
    <t>COMUNE DI BUROLO</t>
  </si>
  <si>
    <t>ACQUE FLORESTA SRL</t>
  </si>
  <si>
    <t>COMUNE DI VALPELLINE</t>
  </si>
  <si>
    <t>COMUNE DI MARCHIROLO</t>
  </si>
  <si>
    <t>Unité des Communes valdotaines Mont-Rose</t>
  </si>
  <si>
    <t>COMUNE DI BREZZO DI BEDERO</t>
  </si>
  <si>
    <t>COMUNE DI LEZZENO</t>
  </si>
  <si>
    <t>COMUNE DI BELLAGIO</t>
  </si>
  <si>
    <t>COMUNE DI MINORI</t>
  </si>
  <si>
    <t>COMUNE DI TOFFIA</t>
  </si>
  <si>
    <t>COMUNE DI CIVIDATE CAMUNO</t>
  </si>
  <si>
    <t>COMUNE DI BACOLI</t>
  </si>
  <si>
    <t>COMUNE DI DARFO BOARIO TERME</t>
  </si>
  <si>
    <t>Comune di Trevi nel Lazio</t>
  </si>
  <si>
    <t>COMUNE DI TRIORA</t>
  </si>
  <si>
    <t>COMUNE DI PIEVE DI TECO</t>
  </si>
  <si>
    <t>Comune di Bordighera</t>
  </si>
  <si>
    <t>Comune di Caposele</t>
  </si>
  <si>
    <t>COMUNE DI SPERONE</t>
  </si>
  <si>
    <t>Comune di Baiano</t>
  </si>
  <si>
    <t>COMUNE DI GIANICO</t>
  </si>
  <si>
    <t>COMUNE DI ARTOGNE</t>
  </si>
  <si>
    <t>COMUNE DI PIAN CAMUNO</t>
  </si>
  <si>
    <t>COMUNE DI GRAVEDONA ED UNITI</t>
  </si>
  <si>
    <t>COMUNE DI CASTELVERRINO</t>
  </si>
  <si>
    <t>COMUNE DI SAN LORENZELLO</t>
  </si>
  <si>
    <t>Comune di Casalbore</t>
  </si>
  <si>
    <t>COMUNE DI VALMOREA</t>
  </si>
  <si>
    <t>COMUNE DI PUGLIANELLO</t>
  </si>
  <si>
    <t>Comune di Avellino</t>
  </si>
  <si>
    <t>COMUNE DI LUSCIANO</t>
  </si>
  <si>
    <t>COMUNE DI MOIANO</t>
  </si>
  <si>
    <t>COMUNE DI AIROLA</t>
  </si>
  <si>
    <t>Comune di Bene Lario</t>
  </si>
  <si>
    <t>COMUNE DI CANTU'</t>
  </si>
  <si>
    <t>Comune di Casagiove</t>
  </si>
  <si>
    <t>COMUNE DI MENFI</t>
  </si>
  <si>
    <t>COMUNE DI DONGO</t>
  </si>
  <si>
    <t>COMUNE DI DOMASO</t>
  </si>
  <si>
    <t>COMUNE DI TARANO</t>
  </si>
  <si>
    <t>COMUNE DI CUVIO</t>
  </si>
  <si>
    <t>COMUNE DI CARLAZZO</t>
  </si>
  <si>
    <t>COMUNE DI MALEGNO</t>
  </si>
  <si>
    <t>COMUNE DI MONTENERO DI BISACCIA</t>
  </si>
  <si>
    <t>Comune di Rodero</t>
  </si>
  <si>
    <t>Comune di Peglio</t>
  </si>
  <si>
    <t>COMUNE DI MONTEGROSSO PIAN LATTE</t>
  </si>
  <si>
    <t>Comune di Mazzarrone</t>
  </si>
  <si>
    <t>COMUNE DI CAMPOLI DEL MONTE TABURNO</t>
  </si>
  <si>
    <t>COMUNE DI BELSITO</t>
  </si>
  <si>
    <t>COMUNE DI FABRICA DI ROMA</t>
  </si>
  <si>
    <t>COMUNE DI GEMONIO</t>
  </si>
  <si>
    <t>COMUNE DI VALLO TORINESE</t>
  </si>
  <si>
    <t>Comune di OGLIASTRO Cilento</t>
  </si>
  <si>
    <t>COMUNE DI PETINA</t>
  </si>
  <si>
    <t>Comune di Maiori</t>
  </si>
  <si>
    <t>Comune di Sumirago</t>
  </si>
  <si>
    <t>COMUNE DI NIARDO</t>
  </si>
  <si>
    <t>comune di padula</t>
  </si>
  <si>
    <t>CONSORZIO IRRIGUO E POTABILE DEI COMUNI DI CIPRESSA E COSTARAINERA</t>
  </si>
  <si>
    <t>COMUNE DI MANDELA</t>
  </si>
  <si>
    <t>COMUNE DI BRISSAGO VALTRAVAGLIA</t>
  </si>
  <si>
    <t>COMUNE DI TORCHIARA</t>
  </si>
  <si>
    <t>COMUNE DI POSTIGLIONE</t>
  </si>
  <si>
    <t>Comune di Oliveto Citra</t>
  </si>
  <si>
    <t>COMUNE DI BIANCAVILLA</t>
  </si>
  <si>
    <t>COMUNE DI MONTE ROMANO</t>
  </si>
  <si>
    <t>Comune di Grandola ed Uniti</t>
  </si>
  <si>
    <t>COMUNE DI BARREA</t>
  </si>
  <si>
    <t>Comune di Cosio d'Arroscia</t>
  </si>
  <si>
    <t>Servizi Ambientali s.p.a.</t>
  </si>
  <si>
    <t>COMUNE DI MERONE</t>
  </si>
  <si>
    <t>COMUNE DI PONNA</t>
  </si>
  <si>
    <t>COMUNE DI POMPEIANA</t>
  </si>
  <si>
    <t>COMUNE DI CASTELLO DEL MATESE</t>
  </si>
  <si>
    <t>COMUNE DI SANT'ANGELO ALL'ESCA</t>
  </si>
  <si>
    <t>COMUNE DI DOMICELLA</t>
  </si>
  <si>
    <t>COMUNE DI MALETTO</t>
  </si>
  <si>
    <t>COMUNE DI SASSINORO</t>
  </si>
  <si>
    <t>Comune di Zafferana Etnea</t>
  </si>
  <si>
    <t>COMUNE DI CALATABIANO</t>
  </si>
  <si>
    <t>COMUNE DI BRUNELLO</t>
  </si>
  <si>
    <t>COMUNE DI PALAGONIA</t>
  </si>
  <si>
    <t>COMUNE DI SCORDIA</t>
  </si>
  <si>
    <t>COMUNE DI RANDAZZO</t>
  </si>
  <si>
    <t>comune di castel di iudica</t>
  </si>
  <si>
    <t>COSTRUZIONI DONDI</t>
  </si>
  <si>
    <t>MACCARRONE MARIA</t>
  </si>
  <si>
    <t>COMUNE DI POLLA (SA)</t>
  </si>
  <si>
    <t>COMUNE DI ROMAGNANO AL MONTE</t>
  </si>
  <si>
    <t>Comune di Poggio Moiano</t>
  </si>
  <si>
    <t>comune di corleto monforte</t>
  </si>
  <si>
    <t>comune di montesano sulla marcellana</t>
  </si>
  <si>
    <t>COMUNE DI SALVITELLE</t>
  </si>
  <si>
    <t>COMUNE DI CANDIDA</t>
  </si>
  <si>
    <t>COMUNE DI PIETRAROJA</t>
  </si>
  <si>
    <t>comune di montefusco</t>
  </si>
  <si>
    <t>COMUNE DI PALLARE</t>
  </si>
  <si>
    <t>COMUNE DI ATRIPALDA</t>
  </si>
  <si>
    <t>COMUNE DI FORINO</t>
  </si>
  <si>
    <t>COMUNE DI MONTEFALCIONE</t>
  </si>
  <si>
    <t>comune di baselice</t>
  </si>
  <si>
    <t>COMUNE DI AIELLO DEL SABATO</t>
  </si>
  <si>
    <t>Comune di Conza della Campania</t>
  </si>
  <si>
    <t>COMUNE DI LUOGOSANO</t>
  </si>
  <si>
    <t>COMUNE DI PETRURO IRPINO</t>
  </si>
  <si>
    <t>COMUNE DI MOZZATE</t>
  </si>
  <si>
    <t>COMUNE DI CISLAGO</t>
  </si>
  <si>
    <t>COMUNE DI CARBONATE</t>
  </si>
  <si>
    <t>COMUNE DI LOCATE VARESINO</t>
  </si>
  <si>
    <t>COMUNE DI PIAGGINE</t>
  </si>
  <si>
    <t>COMUNE DI CASSANO IRPINO</t>
  </si>
  <si>
    <t>comune di giffoni valle piana</t>
  </si>
  <si>
    <t>Consorzio per la Bonifica della Capitanata</t>
  </si>
  <si>
    <t>COMUNE DI PONTELANDOLFO</t>
  </si>
  <si>
    <t>EIPLI (Ente per lo sviluppo dell'irrigazione e la trasformazione fondiaria in Puglia Lucania e Irpinia)</t>
  </si>
  <si>
    <t>COMUNE DI CARIFE</t>
  </si>
  <si>
    <t>COMUNE DI PRATA DI PRINCIPATO ULTRA</t>
  </si>
  <si>
    <t>Comune di Taurasi</t>
  </si>
  <si>
    <t>Comune di Zuccarello</t>
  </si>
  <si>
    <t>COMUNE DI MAGLIANO VETERE</t>
  </si>
  <si>
    <t>comune di vallesaccarda</t>
  </si>
  <si>
    <t>COMUNE DI FONTANAROSA</t>
  </si>
  <si>
    <t>COMUNE DI INDUNO OLONA</t>
  </si>
  <si>
    <t>COMUNE DI ROSCIGNO</t>
  </si>
  <si>
    <t>comune di san pietro al tanagro</t>
  </si>
  <si>
    <t>Comune di Malnate</t>
  </si>
  <si>
    <t>COMUNE DI SAN SALVATORE TELESINO</t>
  </si>
  <si>
    <t>COMUNE DI SANT'ANGELO DEI LOMBARDI</t>
  </si>
  <si>
    <t>SOCIETA' ACQUEDOTTO VALLE DEL LAMONE S.R.L.</t>
  </si>
  <si>
    <t>Comune di Mugnano del Cardinale</t>
  </si>
  <si>
    <t>COMUNE DI SAN MARCO DEI CAVOTI</t>
  </si>
  <si>
    <t>Comune di Avella</t>
  </si>
  <si>
    <t>COMUNE DI ALTAVILLA IRPINA</t>
  </si>
  <si>
    <t>COMUNE DI BIENNO</t>
  </si>
  <si>
    <t>COMUNE DI TORRIONI</t>
  </si>
  <si>
    <t>COMUNE DI MIAZZINA</t>
  </si>
  <si>
    <t>COMUNE DI MONTEFORTE CILENTO</t>
  </si>
  <si>
    <t>COMO ACQUA S.R.L.</t>
  </si>
  <si>
    <t>comune di SANT'ANGELO A SCALA</t>
  </si>
  <si>
    <t>COMUNE DI FALOPPIO</t>
  </si>
  <si>
    <t>COMUNE DI RONAGO</t>
  </si>
  <si>
    <t>COMUNE DI MONTEMARANO</t>
  </si>
  <si>
    <t>COMUNE DI UGGIATE-TREVANO</t>
  </si>
  <si>
    <t>COMUNE DI CORRIDO</t>
  </si>
  <si>
    <t>COMUNE DI BIZZARONE</t>
  </si>
  <si>
    <t>COMUNE DI INVERIGO</t>
  </si>
  <si>
    <t>COMUNE DI GRIANTE</t>
  </si>
  <si>
    <t>Comune di San Giorgio del Sannio</t>
  </si>
  <si>
    <t>Comune di Grandate</t>
  </si>
  <si>
    <t>Comune di Rocchetta e Croce</t>
  </si>
  <si>
    <t>Comune di Serino</t>
  </si>
  <si>
    <t>Comune di Montano lucino</t>
  </si>
  <si>
    <t>COMUNE DI LUCINASCO</t>
  </si>
  <si>
    <t>COMUNE DI RANZO</t>
  </si>
  <si>
    <t>COMUNE DI AQUILA D'ARROSCIA</t>
  </si>
  <si>
    <t>RIVIERACQUA SOCIETA' CONSORTILE PER AZIONI</t>
  </si>
  <si>
    <t>comune di caravonica</t>
  </si>
  <si>
    <t>COMUNE DI VASIA</t>
  </si>
  <si>
    <t>COMUNE DI REZZO</t>
  </si>
  <si>
    <t>COMUNE DI AIROLE</t>
  </si>
  <si>
    <t>COMUNE SAN NAZZARO</t>
  </si>
  <si>
    <t>COMUNE DI ARMO</t>
  </si>
  <si>
    <t>COMUNE DI CHIUSANICO</t>
  </si>
  <si>
    <t>Comune di Cesio</t>
  </si>
  <si>
    <t>COMUNE DI BORGOMARO</t>
  </si>
  <si>
    <t>Jonica Multiservizi S.p.A.</t>
  </si>
  <si>
    <t>COMUNE DI PIETRABRUNA</t>
  </si>
  <si>
    <t>COMUNE DI APRICALE</t>
  </si>
  <si>
    <t>COMUNE DI SAN FERMO DELLA BATTAGLIA</t>
  </si>
  <si>
    <t>COMUNE DI BAJARDO</t>
  </si>
  <si>
    <t>COMUNE DI OLIVETTA SAN MICHELE</t>
  </si>
  <si>
    <t>Comune di Prelà</t>
  </si>
  <si>
    <t>SOCIETA' IMPIANTI TECNOLOGICI S.R.L. "S.I.T. S.R.L."</t>
  </si>
  <si>
    <t>COMUNE DI ROCCHETTA NERVINA</t>
  </si>
  <si>
    <t>COMUNE DI AURIGO</t>
  </si>
  <si>
    <t>COMUNE DI PIGNA</t>
  </si>
  <si>
    <t>COMUNE DI CISSONE</t>
  </si>
  <si>
    <t>comune di castel vittorio</t>
  </si>
  <si>
    <t>Comune di Sessa Aurunca</t>
  </si>
  <si>
    <t>COMUNE DI TORO</t>
  </si>
  <si>
    <t>COMUNE DI LEQUIO BERRIA</t>
  </si>
  <si>
    <t>Comune di CERNOBBIO</t>
  </si>
  <si>
    <t>COMUNE DI PIZZONE</t>
  </si>
  <si>
    <t>Società Acqua Procida S.A.P. S.r.l.</t>
  </si>
  <si>
    <t>COMUNE DI VIOLA</t>
  </si>
  <si>
    <t>COMUNE DI PRIERO</t>
  </si>
  <si>
    <t>Comune di Carovilli</t>
  </si>
  <si>
    <t>COMUNE DI CASTELNUOVO DI CEVA</t>
  </si>
  <si>
    <t>Comune di Oyace</t>
  </si>
  <si>
    <t>COMUNE VERRES</t>
  </si>
  <si>
    <t>Unité des Communes valdôtaines Evançon</t>
  </si>
  <si>
    <t>COMUNE DI BIONAZ</t>
  </si>
  <si>
    <t>UNITE DES COMMUNES VALDOTAINES MONT-CERVIN</t>
  </si>
  <si>
    <t>COMUNE DI BORGO VIRGILIO</t>
  </si>
  <si>
    <t>COMUNE DI BATTIFOLLO</t>
  </si>
  <si>
    <t>comune di gottasecca</t>
  </si>
  <si>
    <t>Comune di Pozzuoli</t>
  </si>
  <si>
    <t>Comune di Laviano</t>
  </si>
  <si>
    <t>Comune di Garlenda</t>
  </si>
  <si>
    <t>SVILUPPO VARESE</t>
  </si>
  <si>
    <t>Comune di Maissana</t>
  </si>
  <si>
    <t>COMUNE DI ISSOGNE</t>
  </si>
  <si>
    <t>Comune di Casalbuono</t>
  </si>
  <si>
    <t>COMUNE DI PROVVIDENTI</t>
  </si>
  <si>
    <t>COMUNE DI MONTELONGO</t>
  </si>
  <si>
    <t>COMUNE DI MORRONE DEL SANNIO</t>
  </si>
  <si>
    <t>COMUNE DI PALATA</t>
  </si>
  <si>
    <t>comune di civitacampomarano</t>
  </si>
  <si>
    <t>comune di Drena</t>
  </si>
  <si>
    <t>Comune di Montegrino Valtravaglia</t>
  </si>
  <si>
    <t>COMUNE DI MONTORIO NEI FRENTANI</t>
  </si>
  <si>
    <t>COMUNE DI LONGANO</t>
  </si>
  <si>
    <t>COMUNE DI RIPABOTTONI</t>
  </si>
  <si>
    <t>COMUNE DI MACCHIAGODENA</t>
  </si>
  <si>
    <t>COMUNE DI MOLISE</t>
  </si>
  <si>
    <t>COMUNE DI BAGNOLI DEL TRIGNO</t>
  </si>
  <si>
    <t>Comune di Praia a Mare</t>
  </si>
  <si>
    <t>COMUNE DI CERCEMAGGIORE</t>
  </si>
  <si>
    <t>COMUNE DI GILDONE</t>
  </si>
  <si>
    <t>COMUNE DI LAPPANO</t>
  </si>
  <si>
    <t>COMUNE DI CASTELPIZZUTO</t>
  </si>
  <si>
    <t>COMUNE DI CHIAUCI</t>
  </si>
  <si>
    <t>comune di casalciprano</t>
  </si>
  <si>
    <t>COMUNE DI CASTELLINO DEL BIFERNO</t>
  </si>
  <si>
    <t>comune di Francica</t>
  </si>
  <si>
    <t>COMUNE DI SAN GIULIANO DEL SANNIO</t>
  </si>
  <si>
    <t>COMUNE DI BARANELLO</t>
  </si>
  <si>
    <t>COMUNE DI PESCOLANCIANO</t>
  </si>
  <si>
    <t>COMUNE DI PIETRACUPA</t>
  </si>
  <si>
    <t>COMUNE DI TUFARA</t>
  </si>
  <si>
    <t>Comune di Sant'Elia a Pianisi</t>
  </si>
  <si>
    <t>COMUNE DI FORNELLI</t>
  </si>
  <si>
    <t>COMUNE DI MONTAQUILA</t>
  </si>
  <si>
    <t>Comune di Davoli</t>
  </si>
  <si>
    <t>COMUNE DI FILIGNANO</t>
  </si>
  <si>
    <t>COMUNE DI CANTALUPO NEL SANNIO</t>
  </si>
  <si>
    <t>COMUNE DI MARZI</t>
  </si>
  <si>
    <t>Comune di Morano Calabro</t>
  </si>
  <si>
    <t>COMUNE DI CAMPANA</t>
  </si>
  <si>
    <t>COMUNE DI VALLEFIORITA</t>
  </si>
  <si>
    <t>COMUNE DI LIMOSANO</t>
  </si>
  <si>
    <t>COMUNE DI ESINE</t>
  </si>
  <si>
    <t>COMUNE DI BELMONTE DEL SANNIO</t>
  </si>
  <si>
    <t>comune di Roccasicura</t>
  </si>
  <si>
    <t>COMUNE DI SANT'ELENA SANNITA</t>
  </si>
  <si>
    <t>Comune di San Vito sullo Ionio</t>
  </si>
  <si>
    <t>COMUNE DI GUGLIONESI</t>
  </si>
  <si>
    <t>COMUNE DI MIRANDA</t>
  </si>
  <si>
    <t>COMUNE DI MONACILIONI</t>
  </si>
  <si>
    <t>COMUNE DI SANT'AGAPITO</t>
  </si>
  <si>
    <t>COMUNE DI MANGONE</t>
  </si>
  <si>
    <t>COMUNE DI CARPINONE</t>
  </si>
  <si>
    <t>COMUNE DI GUARDIALFIERA</t>
  </si>
  <si>
    <t>COMUNE DI CASTEL MORRONE</t>
  </si>
  <si>
    <t>COMUNE DI MONTAGANO</t>
  </si>
  <si>
    <t>COMUNE DI SESSANO DEL MOLISE</t>
  </si>
  <si>
    <t>COMUNE DI URURI</t>
  </si>
  <si>
    <t>COMUNE DI MURIALDO</t>
  </si>
  <si>
    <t>COMUNE DI CASTELBOTTACCIO</t>
  </si>
  <si>
    <t>COMUNE DI LUCITO</t>
  </si>
  <si>
    <t>COMUNE DI MATRICE</t>
  </si>
  <si>
    <t>COMUNE DI PIETRACATELLA</t>
  </si>
  <si>
    <t>Comune di Cicala</t>
  </si>
  <si>
    <t>COMUNE DI CASTELPETROSO</t>
  </si>
  <si>
    <t>Comune di Simeri Crichi</t>
  </si>
  <si>
    <t>Comune di Comerio</t>
  </si>
  <si>
    <t>Comune di Cerva</t>
  </si>
  <si>
    <t>COMUNE DI CASTELVECCANA</t>
  </si>
  <si>
    <t>Comune di Breno</t>
  </si>
  <si>
    <t>comune di posta</t>
  </si>
  <si>
    <t>comune di borbona</t>
  </si>
  <si>
    <t>comune di cittareale</t>
  </si>
  <si>
    <t>comune di micigliano</t>
  </si>
  <si>
    <t>COMUNE DI ORINO</t>
  </si>
  <si>
    <t>COMUNE DI STAZZONA</t>
  </si>
  <si>
    <t>COMUNE DI TROPEA</t>
  </si>
  <si>
    <t>COMUNE DI SCHIGNANO</t>
  </si>
  <si>
    <t>comune di cerano d'intelvi</t>
  </si>
  <si>
    <t>Comune di Brunate</t>
  </si>
  <si>
    <t>COMUNE DI ALBISOLA SUPERIORE</t>
  </si>
  <si>
    <t>Comune di Civitavecchia</t>
  </si>
  <si>
    <t>COMUNE DI LONATE POZZOLO</t>
  </si>
  <si>
    <t>COMUNE DI APOLLOSA</t>
  </si>
  <si>
    <t>COMUNE DI TORELLA DEI LOMBARDI</t>
  </si>
  <si>
    <t>Comune di Anguillara Sabazia</t>
  </si>
  <si>
    <t>COMUNE DI PACHINO</t>
  </si>
  <si>
    <t>COMUNE DI MALGESSO</t>
  </si>
  <si>
    <t>comune di roccagloriosa</t>
  </si>
  <si>
    <t>comune di circello</t>
  </si>
  <si>
    <t>COMUNE DI ANGERA</t>
  </si>
  <si>
    <t>COMUNE DI CAGLIO</t>
  </si>
  <si>
    <t>COMUNE DI GIUGLIANO IN CAMPANIA</t>
  </si>
  <si>
    <t>COMUNE DI MELILLI</t>
  </si>
  <si>
    <t>COMUNE DI DAVERIO</t>
  </si>
  <si>
    <t>COMUNE DI CARAVATE</t>
  </si>
  <si>
    <t>COMUNE CASTEL BARONIA</t>
  </si>
  <si>
    <t>COMUNE DI TRASQUERA</t>
  </si>
  <si>
    <t>COMUNE DI LABICO</t>
  </si>
  <si>
    <t>COMUNE DI CASALZUIGNO</t>
  </si>
  <si>
    <t>comune di canicattini bagni</t>
  </si>
  <si>
    <t>COMUNE DI PRUNETTO</t>
  </si>
  <si>
    <t>COMUNE DI CONTURSI TERME</t>
  </si>
  <si>
    <t>Comune di Cadegliano Viconago</t>
  </si>
  <si>
    <t>COMUNE DI BARDELLO</t>
  </si>
  <si>
    <t>COMUNE DI CALIZZANO</t>
  </si>
  <si>
    <t>COMUNE DI TRIPI</t>
  </si>
  <si>
    <t>COMUNE DI CUGLIATE FABIASCO</t>
  </si>
  <si>
    <t>COMUNE DI BIANDRONNO</t>
  </si>
  <si>
    <t>Comune di Montefalcone di Val Fortore</t>
  </si>
  <si>
    <t>COMUNE DI GAVIRATE</t>
  </si>
  <si>
    <t>COMUNE DI BARNI</t>
  </si>
  <si>
    <t>COMUNE DI POGGIO SAN VICINO</t>
  </si>
  <si>
    <t>COMUNE DI PIEVE TORINA</t>
  </si>
  <si>
    <t>COMUNE DI CASTIGLIONE OLONA</t>
  </si>
  <si>
    <t>comune di Luino</t>
  </si>
  <si>
    <t>COMUNE DI SCAGNELLO</t>
  </si>
  <si>
    <t>COMUNE DI ADRO</t>
  </si>
  <si>
    <t>COMUNE DI CASORIA</t>
  </si>
  <si>
    <t>Comune di Germignaga</t>
  </si>
  <si>
    <t>COMUNE DI SAVIORE DELL'ADAMELLO</t>
  </si>
  <si>
    <t>COMUNE DI MOMBARCARO</t>
  </si>
  <si>
    <t>Comune di Rodello</t>
  </si>
  <si>
    <t>COMUNE DI TAINO</t>
  </si>
  <si>
    <t>Comune di Montelupo Albese</t>
  </si>
  <si>
    <t>COMUNE DI VITTORIA</t>
  </si>
  <si>
    <t>COMUNE DI BURCEI</t>
  </si>
  <si>
    <t>COMUNE DI GURRO</t>
  </si>
  <si>
    <t>COMUNE DI TRAVEDONA MONATE</t>
  </si>
  <si>
    <t>COMUNE DI INARZO</t>
  </si>
  <si>
    <t>COMUNE DI FERRERA DI VARESE</t>
  </si>
  <si>
    <t>COMUNE DI RANCIO VALCUVIA</t>
  </si>
  <si>
    <t>COMUNE DI MORNAGO</t>
  </si>
  <si>
    <t>COMUNE CASTELLETTO UZZONE</t>
  </si>
  <si>
    <t>COMUNE DI VEDANO OLONA</t>
  </si>
  <si>
    <t>COMUNE DI SAMARATE</t>
  </si>
  <si>
    <t>COMUNE DI BREGANO</t>
  </si>
  <si>
    <t>COMUNE DI COLLE DI TORA</t>
  </si>
  <si>
    <t>COMUNE DI BERGOLO</t>
  </si>
  <si>
    <t>COMUNE DI MASCIAGO PRIMO</t>
  </si>
  <si>
    <t>COMUNE DI SCICLI</t>
  </si>
  <si>
    <t>COMUNE DI COLLEDIMEZZO</t>
  </si>
  <si>
    <t>COMUNE DI CARDITO</t>
  </si>
  <si>
    <t>COMUNE DI POZZALLO</t>
  </si>
  <si>
    <t>COMUNE DI ROCCHETTA BELBO</t>
  </si>
  <si>
    <t>Comune di Azzate</t>
  </si>
  <si>
    <t>comune di capestrano</t>
  </si>
  <si>
    <t>COMUNE DI BARDINETO</t>
  </si>
  <si>
    <t>COMUNE DI MARCETELLI</t>
  </si>
  <si>
    <t>COMUNE LONGONE SABINO</t>
  </si>
  <si>
    <t>COMUNE DI CASTELFRANCI</t>
  </si>
  <si>
    <t>COMUNE DI VOLTURARA IRPINA</t>
  </si>
  <si>
    <t>Comune di Bolognola</t>
  </si>
  <si>
    <t>Comune di Varco Sabino</t>
  </si>
  <si>
    <t>COMUNE DI ORVINIO</t>
  </si>
  <si>
    <t>COMUNE DI GALLIATE LOMBARDO</t>
  </si>
  <si>
    <t>Comune di Teano</t>
  </si>
  <si>
    <t>comune di balestrino</t>
  </si>
  <si>
    <t>COMUNE DI CASTELBIANCO</t>
  </si>
  <si>
    <t>COMUNE DI BULTEI</t>
  </si>
  <si>
    <t>COMUNE DI ROCCELLA VALDEMONE</t>
  </si>
  <si>
    <t>COMUNE  DI  CALITRI</t>
  </si>
  <si>
    <t>Comune di Roccabascerana</t>
  </si>
  <si>
    <t>COMUNE DI MOIO ALCANTARA</t>
  </si>
  <si>
    <t>COMUNE DI ROIO DEL SANGRO</t>
  </si>
  <si>
    <t>Comune di Ginestra degli Schiavoni</t>
  </si>
  <si>
    <t>COMUNE DI MONTELEONE DI PUGLIA</t>
  </si>
  <si>
    <t>COMUNE DI NASINO</t>
  </si>
  <si>
    <t>COMUNE DI ANELA</t>
  </si>
  <si>
    <t>COMUNE DI CONCERVIANO</t>
  </si>
  <si>
    <t>Comune di Alcamo</t>
  </si>
  <si>
    <t>COMUNE DI VARISELLA</t>
  </si>
  <si>
    <t>comune di erli</t>
  </si>
  <si>
    <t>DOMUS ACQUA SRL</t>
  </si>
  <si>
    <t>COMUNE DI SANT'ANGELO A CUPOLO</t>
  </si>
  <si>
    <t>COMUNE DI VALDINA</t>
  </si>
  <si>
    <t>comune di vivaro romano</t>
  </si>
  <si>
    <t>COMUNE DI MONTEFERRANTE</t>
  </si>
  <si>
    <t>Comune di Castroreale</t>
  </si>
  <si>
    <t>COMUNE DI MOTTA MONTECORVINO</t>
  </si>
  <si>
    <t>COMUNE DI ROSETO VALFORTORE</t>
  </si>
  <si>
    <t>Comune di Rofrano</t>
  </si>
  <si>
    <t>Comune di Aquilonia</t>
  </si>
  <si>
    <t>COMUNE DI TURANIA</t>
  </si>
  <si>
    <t>COMUNE DI MODOLO</t>
  </si>
  <si>
    <t>comune di quarto</t>
  </si>
  <si>
    <t>Comune di Magliolo</t>
  </si>
  <si>
    <t>Comune di San Nicolò di Comelico</t>
  </si>
  <si>
    <t>COMUNE DI SANTA MARGHERITA DI BELICE</t>
  </si>
  <si>
    <t>COMUNE DI VILLA SAN GIOVANNI</t>
  </si>
  <si>
    <t>COMUNE DI FLORIDIA</t>
  </si>
  <si>
    <t>COMUNE DI ESPORLATU</t>
  </si>
  <si>
    <t>Livenza Tagliamento Acque S.p.A.</t>
  </si>
  <si>
    <t>COMUNE DI OLZAI</t>
  </si>
  <si>
    <t>Comune di Maddaloni</t>
  </si>
  <si>
    <t>COMUNE DI AVERSA</t>
  </si>
  <si>
    <t>comune di nuxis</t>
  </si>
  <si>
    <t>COMUNE DI CIMBERGO</t>
  </si>
  <si>
    <t>COMUNE DI SIDERNO</t>
  </si>
  <si>
    <t>Comune di Monte di Procida</t>
  </si>
  <si>
    <t>COMUNE DI ONO SAN PIETRO</t>
  </si>
  <si>
    <t>COMUNE DI BOTTIDDA</t>
  </si>
  <si>
    <t>COMUNE DI TEULADA</t>
  </si>
  <si>
    <t>COMUNE DI SERRAMANNA</t>
  </si>
  <si>
    <t>COMUNE DI PAULILATINO</t>
  </si>
  <si>
    <t>COMUNE DI PASPARDO</t>
  </si>
  <si>
    <t>CONSORZIO INTERCOMUNALE SALVAGUARDIA AMBIENTALE</t>
  </si>
  <si>
    <t>Comune di Portopalo di Capo Passero</t>
  </si>
  <si>
    <t>COMUNE DI FLUMINIMAGGIORE</t>
  </si>
  <si>
    <t>COMUNE DI SEUI</t>
  </si>
  <si>
    <t>COMUNE MARANO DI NAPOLI</t>
  </si>
  <si>
    <t>COMUNE DI SANTU LUSSURGIU</t>
  </si>
  <si>
    <t>GESTIONE IMPIANTI DEPURAZIONE ACQUE SPA</t>
  </si>
  <si>
    <t>Comune di Terricciola</t>
  </si>
  <si>
    <t>COMUNE DI VILLAGRANDE STRISAILI</t>
  </si>
  <si>
    <t>Comune di Camerata Cornello</t>
  </si>
  <si>
    <t>comune di priolo gargallo</t>
  </si>
  <si>
    <t>COMUNE DI STRAMBINELLO</t>
  </si>
  <si>
    <t>Comune di Isola di Fondra</t>
  </si>
  <si>
    <t>COMUNE DI ARZANA</t>
  </si>
  <si>
    <t>COMUNE DI BERZO INFERIORE</t>
  </si>
  <si>
    <t>COMUNE DI REINO</t>
  </si>
  <si>
    <t>COMUNE DI SANTA BRIGIDA</t>
  </si>
  <si>
    <t>COMUNE DI LIMATOLA</t>
  </si>
  <si>
    <t>COMUNE DI ALFEDENA</t>
  </si>
  <si>
    <t>CONSORZIO DI BONIFICA TERRE D'APULIA</t>
  </si>
  <si>
    <t>COMUNE DI RONCIGLIONE</t>
  </si>
  <si>
    <t>COMUNE DI BONARCADO</t>
  </si>
  <si>
    <t>COMUNE DI BONATE SOTTO</t>
  </si>
  <si>
    <t>COMUNE DI CAMPO CALABRO</t>
  </si>
  <si>
    <t>Comune di Braone</t>
  </si>
  <si>
    <t>COMUNE DI PERFUGAS</t>
  </si>
  <si>
    <t>COMUNE DI SANTA LUCIA DEL MELA</t>
  </si>
  <si>
    <t>COMUNE DI MASCALI</t>
  </si>
  <si>
    <t>COMUNE DI TERTENIA</t>
  </si>
  <si>
    <t>COMUNE DI MILLESIMO</t>
  </si>
  <si>
    <t>Comune di Lentini</t>
  </si>
  <si>
    <t>COMUNE DI CAPO DI PONTE</t>
  </si>
  <si>
    <t>COMUNE DI SAN FILIPPO DEL MELA</t>
  </si>
  <si>
    <t>Comune di Canistro</t>
  </si>
  <si>
    <t>COMUNE DI BORNO</t>
  </si>
  <si>
    <t>Comune di Bussi sul Tirino</t>
  </si>
  <si>
    <t>COMUNE DI AUGUSTA</t>
  </si>
  <si>
    <t>COMUNE DI SCALETTA ZANCLEA</t>
  </si>
  <si>
    <t>Comune di Castell'Umberto</t>
  </si>
  <si>
    <t>CONSORZIO COMUNI DELLA MEDIA SABINA</t>
  </si>
  <si>
    <t>Comune di Curti</t>
  </si>
  <si>
    <t>COMUNE DI CUSANO MUTRI</t>
  </si>
  <si>
    <t>COMUNE DI GIARRATANA</t>
  </si>
  <si>
    <t>COMUNE DI LENNA</t>
  </si>
  <si>
    <t>COMUNE DI MODICA</t>
  </si>
  <si>
    <t>COMUNE DI CHIARAMONTE GULFI</t>
  </si>
  <si>
    <t>COMUNE DI CASTELDELFINO</t>
  </si>
  <si>
    <t>COMUNE DI TRAVES</t>
  </si>
  <si>
    <t>COMUNE DI PIETRAMELARA</t>
  </si>
  <si>
    <t>COMUNE DI ROTELLO</t>
  </si>
  <si>
    <t>COMUNE DI PALAZZO CANAVESE</t>
  </si>
  <si>
    <t>Comune di Filadelfia</t>
  </si>
  <si>
    <t>COMUNE DI FALLO</t>
  </si>
  <si>
    <t>A.M.A.M. Azienda Meridionale Acque Messina S.p.A.</t>
  </si>
  <si>
    <t>COMUNE DI CAPRI LEONE</t>
  </si>
  <si>
    <t>Comune di ORTE</t>
  </si>
  <si>
    <t>Comune di Lampedusa e Linosa</t>
  </si>
  <si>
    <t>COMUNE DI FRATTAMINORE</t>
  </si>
  <si>
    <t>COMUNE DI  MOSCHIANO</t>
  </si>
  <si>
    <t>COMUNE DI GUARDIA SANFRAMONDI</t>
  </si>
  <si>
    <t>COMUNE DI VENTICANO</t>
  </si>
  <si>
    <t>COMUNE DI CASTELVETERE SUL CALORE</t>
  </si>
  <si>
    <t>COMUNE DI ITALA</t>
  </si>
  <si>
    <t>Servizi Integrati Acque del Mediterraneo - SIAM</t>
  </si>
  <si>
    <t>COMUNE DI QUADRELLE</t>
  </si>
  <si>
    <t>C.I.R.A.  S.R.L.</t>
  </si>
  <si>
    <t>Comune Gualtieri Sicaminò</t>
  </si>
  <si>
    <t>Comune di Parolise</t>
  </si>
  <si>
    <t>comune di mirabella imbaccari</t>
  </si>
  <si>
    <t>Comune di Lauro</t>
  </si>
  <si>
    <t>COMUNE DI PIETRADEFUSI</t>
  </si>
  <si>
    <t>COMUNE DI CHIANCHE</t>
  </si>
  <si>
    <t>Comune di Ferla</t>
  </si>
  <si>
    <t>COMUNE DI CARINOLA</t>
  </si>
  <si>
    <t>Comune di Capua</t>
  </si>
  <si>
    <t>COMUNE DI PAOLISI</t>
  </si>
  <si>
    <t>COMUNE DI CALANNA</t>
  </si>
  <si>
    <t>COMUNE DI LIBERI</t>
  </si>
  <si>
    <t>S.I.S.  SOCIETA' IDROMINERALI  SICILIANA</t>
  </si>
  <si>
    <t>Azienda Speciale Regionale Molise Acque</t>
  </si>
  <si>
    <t>COMUNE DI DUGENTA</t>
  </si>
  <si>
    <t>COMUNE DI GERA LARIO</t>
  </si>
  <si>
    <t>Comune di Gratteri</t>
  </si>
  <si>
    <t>GANDOVERE DEPURAZIONE SRL</t>
  </si>
  <si>
    <t>COMUNE DI FIUMEDINISI</t>
  </si>
  <si>
    <t>Comune di Sersale</t>
  </si>
  <si>
    <t>comune di casalduni</t>
  </si>
  <si>
    <t>Comune di Santa Domenica Vittoria</t>
  </si>
  <si>
    <t>Comune di Santa Caterina dello Ionio</t>
  </si>
  <si>
    <t>Comune di Barcellona Pozzo di Gotto</t>
  </si>
  <si>
    <t>COMUNE DI COLOSIMI</t>
  </si>
  <si>
    <t>comune di catanzaro</t>
  </si>
  <si>
    <t>Comune di Melito di Porto Salvo</t>
  </si>
  <si>
    <t>AZIENDA REGIONALE DELLE ATTIVITA PRODUTTIVE</t>
  </si>
  <si>
    <t>Comune di Castelbuono</t>
  </si>
  <si>
    <t>COMUNE DI BAGNOREGIO</t>
  </si>
  <si>
    <t>COMUNE DI CARRODANO</t>
  </si>
  <si>
    <t>COMUNE DI MONTALBANO ELICONA</t>
  </si>
  <si>
    <t>Comune di Buccheri</t>
  </si>
  <si>
    <t>COMUNE DI PALLAGORIO</t>
  </si>
  <si>
    <t>Ente acque della Sardegna - Enas</t>
  </si>
  <si>
    <t>Comune di San Roberto</t>
  </si>
  <si>
    <t>comune bocchigliero</t>
  </si>
  <si>
    <t>Servizi Idrici Valle Camonica</t>
  </si>
  <si>
    <t>COMUNE DI CUSIO</t>
  </si>
  <si>
    <t>PIAVE SERVIZI S.P.A.</t>
  </si>
  <si>
    <t>COMUNE DI MAIERATO</t>
  </si>
  <si>
    <t>Comune di Rosarno</t>
  </si>
  <si>
    <t>COMUNE DI TUSA</t>
  </si>
  <si>
    <t>Comune di Bivongi</t>
  </si>
  <si>
    <t>COMUNE DI PREDAIA</t>
  </si>
  <si>
    <t>COMUNE DI PACE DEL MELA</t>
  </si>
  <si>
    <t>COMUNE DI PAZZANO</t>
  </si>
  <si>
    <t>COMUNE DI ZUNGRI</t>
  </si>
  <si>
    <t>Comune di San Luca</t>
  </si>
  <si>
    <t>COMUNE DI ACATE</t>
  </si>
  <si>
    <t>COMUNE DI SANTA TERESA DI RIVA</t>
  </si>
  <si>
    <t>COMUNE DI GALLODORO</t>
  </si>
  <si>
    <t>COMUNE DI SAN NICOLA DA CRISSA</t>
  </si>
  <si>
    <t>COMUNE DI POLIA</t>
  </si>
  <si>
    <t>COMUNE DI BRUZZANO ZEFFIRIO</t>
  </si>
  <si>
    <t>COMUNE DI ZAMBRONE</t>
  </si>
  <si>
    <t>COMUNE DI SAN PIER NICETO</t>
  </si>
  <si>
    <t>COMUNE DI BIANCO</t>
  </si>
  <si>
    <t>COMUNE DI STILO</t>
  </si>
  <si>
    <t>COMUNE DI MONTEROSSO CALABRO</t>
  </si>
  <si>
    <t>COMUNE DI MILETO</t>
  </si>
  <si>
    <t>Comune di Piraino</t>
  </si>
  <si>
    <t>Comune di Spilinga</t>
  </si>
  <si>
    <t>Comune di Vibo Valentia</t>
  </si>
  <si>
    <t>Comune di Serra San Bruno</t>
  </si>
  <si>
    <t>Comune di Maropati</t>
  </si>
  <si>
    <t>COMUNE STEFANACONI</t>
  </si>
  <si>
    <t>COMUNE DI BENESTARE</t>
  </si>
  <si>
    <t>COMUNE DI PLATI'</t>
  </si>
  <si>
    <t>COMUNE DI RADDUSA</t>
  </si>
  <si>
    <t>COMUNE DI BRANCALEONE</t>
  </si>
  <si>
    <t>COMUNE DI AGNANA CALABRA</t>
  </si>
  <si>
    <t>COMUNE DI BOVALINO</t>
  </si>
  <si>
    <t>COMUNE DI LOCRI</t>
  </si>
  <si>
    <t>COMUNE DI BORGO CHIESE</t>
  </si>
  <si>
    <t>COMUNE DI CASTEL IVANO</t>
  </si>
  <si>
    <t>COMUNE DI DIMARO FOLGARIDA</t>
  </si>
  <si>
    <t>COMUNE DI SELLA GIUDICARIE</t>
  </si>
  <si>
    <t>CONSORZIO ACQUEDOTTO TRA I COMUNI DI FRAGNETO MONFORTE E FRAGNETO L'ABATE</t>
  </si>
  <si>
    <t>Acque Potabili Servizi Idrici Integrati Srl</t>
  </si>
  <si>
    <t>COMUNE DI ANZOLA D'OSSOLA</t>
  </si>
  <si>
    <t>Comune di Vendone</t>
  </si>
  <si>
    <t>COMUNE DI CASANOVA LERRONE</t>
  </si>
  <si>
    <t>COMUNE DI VIGGIU'</t>
  </si>
  <si>
    <t>COMUNE DI BURGOS</t>
  </si>
  <si>
    <t>comune di bosia</t>
  </si>
  <si>
    <t>comune di cremenaga</t>
  </si>
  <si>
    <t>Comune di Villafranca Tirrena</t>
  </si>
  <si>
    <t>Comune di Maiolo  RN</t>
  </si>
  <si>
    <t>COMUNE DI BESSUDE</t>
  </si>
  <si>
    <t>Comune di Levice</t>
  </si>
  <si>
    <t>COMUNE DI COLVERDE</t>
  </si>
  <si>
    <t>comune di villetta barrea</t>
  </si>
  <si>
    <t>Consorzio Acquedotto Campo-Salieto</t>
  </si>
  <si>
    <t>Consorzio Acquedotto Vicinia di Cojana</t>
  </si>
  <si>
    <t>COMUNE DI PENNADOMO</t>
  </si>
  <si>
    <t>Comune di Ciminna</t>
  </si>
  <si>
    <t>Comune di Misilmeri</t>
  </si>
  <si>
    <t>Comune di Ponte di Legno</t>
  </si>
  <si>
    <t>AqA</t>
  </si>
  <si>
    <t>COMUNE DI CAMPOTOSTO</t>
  </si>
  <si>
    <t>COMUNE DI CERDA</t>
  </si>
  <si>
    <t>CONSORZIO ACQUEDOTTO TRE SORGENTI</t>
  </si>
  <si>
    <t>Comune di Castronovo di Sicilia</t>
  </si>
  <si>
    <t>Comune di Satriano</t>
  </si>
  <si>
    <t>COMUNE DI MONTEPAONE</t>
  </si>
  <si>
    <t>COMUNE DI SAN VERO MILIS</t>
  </si>
  <si>
    <t>Comune di Giardinello</t>
  </si>
  <si>
    <t>Comune di Ricadi</t>
  </si>
  <si>
    <t>COMUNE DI FABRIZIA</t>
  </si>
  <si>
    <t>COMUNE GERACI SICULO</t>
  </si>
  <si>
    <t>COMUNE DI CASTELVECCHIO DI ROCCA BARBENA</t>
  </si>
  <si>
    <t>TRINKWASSER-GENOSSENSCHAFT TERLAN</t>
  </si>
  <si>
    <t>COMUNE DI ALTOPIANO DELLA VIGOLANA</t>
  </si>
  <si>
    <t>Cooperativa gestione acquedotto vicinia Zuel di Sopra</t>
  </si>
  <si>
    <t>COMUNE  di  ARZANO</t>
  </si>
  <si>
    <t>COMUNE DI VILLE D'ANAUNIA</t>
  </si>
  <si>
    <t>COMUNE DI ROCCAMENA</t>
  </si>
  <si>
    <t>Comune di santa maria del cedro</t>
  </si>
  <si>
    <t>Acqua Pubblica Sabina S.P.A.</t>
  </si>
  <si>
    <t>COMUNE DI SANTO STEFANO DI CAMASTRA</t>
  </si>
  <si>
    <t>COMUNE DI VALLELAGHI</t>
  </si>
  <si>
    <t>COMUNE DI SANT'ANGELO D'ALIFE</t>
  </si>
  <si>
    <t>COMUNE DI POLLINA</t>
  </si>
  <si>
    <t>COMUNE DI MOTTA D'AFFERMO</t>
  </si>
  <si>
    <t>COMUNE DI TERMINI IMERESE</t>
  </si>
  <si>
    <t>COMUNE DI PIANA DI MONTE VERNA</t>
  </si>
  <si>
    <t>COMUNE DI TORRENOVA</t>
  </si>
  <si>
    <t>COMUNE DI LETOJANNI</t>
  </si>
  <si>
    <t>COMUNE DI LIMINA</t>
  </si>
  <si>
    <t>COMUNE DI SPADAFORA</t>
  </si>
  <si>
    <t>COMUNE DI BAGNARA CALABRA</t>
  </si>
  <si>
    <t>ALFA S.r.l.</t>
  </si>
  <si>
    <t>COMUNE DI PRIMIERO SAN MARTINO DI CASTROZZA</t>
  </si>
  <si>
    <t>Comune di Terrasini</t>
  </si>
  <si>
    <t>COMUNE DI GAGGI</t>
  </si>
  <si>
    <t>COMUNE DI PIETRAVAIRANO</t>
  </si>
  <si>
    <t>Comune di Giarre</t>
  </si>
  <si>
    <t>COMUNE DI PIEVE DI BONO-PREZZO</t>
  </si>
  <si>
    <t>COMUNE DI MEZZOJUSO</t>
  </si>
  <si>
    <t>Comune di Sclafani Bagni</t>
  </si>
  <si>
    <t>COMUNE DI CITTIGLIO</t>
  </si>
  <si>
    <t>COMUNE DI RECALE</t>
  </si>
  <si>
    <t>COMUNE DI MONTEROSSO ALMO</t>
  </si>
  <si>
    <t>UNIONE DEI COMUNI DELL'ALTA ANAUNIA</t>
  </si>
  <si>
    <t>COMUNE DI ARCISATE</t>
  </si>
  <si>
    <t>COMUNE DI PETRALIA SOTTANA</t>
  </si>
  <si>
    <t>COMUNE DI SAN LORENZO DORSINO</t>
  </si>
  <si>
    <t>Consorzio Bonifica Sud</t>
  </si>
  <si>
    <t>COMUNE DI PAOLA</t>
  </si>
  <si>
    <t>COMUNE DI LISIO</t>
  </si>
  <si>
    <t>COMUNE DI ALTAVALLE</t>
  </si>
  <si>
    <t>COMUNE DI BASSANO IN TEVERINA</t>
  </si>
  <si>
    <t>COMUNE DI CIGOLE</t>
  </si>
  <si>
    <t>COMUNE DI LOSINE</t>
  </si>
  <si>
    <t>Comune di Civitella d'Agliano</t>
  </si>
  <si>
    <t>SOCIETA' COOPERATIVA ACQUA POTABILE DI CHIAVERANO</t>
  </si>
  <si>
    <t>COMUNE DI GRADOLI</t>
  </si>
  <si>
    <t>Comune di Latera</t>
  </si>
  <si>
    <t>COMUNE DI BACENO</t>
  </si>
  <si>
    <t>Comune di Ventimiglia di Sicilia</t>
  </si>
  <si>
    <t>comune di vedeseta</t>
  </si>
  <si>
    <t>Comune di Piazzatorre</t>
  </si>
  <si>
    <t>COMUNE DI OLMO AL BREMBO</t>
  </si>
  <si>
    <t>COMUNE DI ANTRONA SCHIERANCO</t>
  </si>
  <si>
    <t>COMUNE DI BRANZI</t>
  </si>
  <si>
    <t>COMUNE DI PETRALIA SOPRANA</t>
  </si>
  <si>
    <t>COMUNE DI FILETTINO</t>
  </si>
  <si>
    <t>COMUNE DI VASANELLO</t>
  </si>
  <si>
    <t>COMUNE DI TERNO D'ISOLA</t>
  </si>
  <si>
    <t>cooperativa acqua potabile bienca srl</t>
  </si>
  <si>
    <t>COMUNE DI SUISIO</t>
  </si>
  <si>
    <t>COMUNE DI BONATE SOPRA</t>
  </si>
  <si>
    <t>Comune di Caltavuturo</t>
  </si>
  <si>
    <t>COMUNE DI ROVIANO</t>
  </si>
  <si>
    <t>Comune di Ossimo</t>
  </si>
  <si>
    <t>COMUNE DI PORTE DI RENDENA</t>
  </si>
  <si>
    <t>COMUNE DI SUTRI</t>
  </si>
  <si>
    <t>comune di gallese</t>
  </si>
  <si>
    <t>COMUNE DI FARNESE</t>
  </si>
  <si>
    <t>Comune di Anticoli Corrado</t>
  </si>
  <si>
    <t>Comune di Cellere</t>
  </si>
  <si>
    <t>COMUNE DI GORZEGNO</t>
  </si>
  <si>
    <t>comune di capodimonte</t>
  </si>
  <si>
    <t>comune di vanzone con s. carlo</t>
  </si>
  <si>
    <t>Acque  Ventrilla  di  Ventrilla  Tania</t>
  </si>
  <si>
    <t>COMUNE DI FORMAZZA</t>
  </si>
  <si>
    <t>COMUNE DI LUBRIANO</t>
  </si>
  <si>
    <t>COMUNE DI BASSANO ROMANO</t>
  </si>
  <si>
    <t>comune di castiglione in teverina</t>
  </si>
  <si>
    <t>Comune di Carfizzi</t>
  </si>
  <si>
    <t>Comune di Reggio Calabria</t>
  </si>
  <si>
    <t>COMUNE DI ISCHIA DI CASTRO</t>
  </si>
  <si>
    <t>COMUNE DI DRUOGNO</t>
  </si>
  <si>
    <t>COMUNE DI VALENTANO</t>
  </si>
  <si>
    <t>HERATECH S.R.L.</t>
  </si>
  <si>
    <t>Comune di Monasterolo Casotto</t>
  </si>
  <si>
    <t>comune di onano</t>
  </si>
  <si>
    <t>COMUNE DI TRE VILLE</t>
  </si>
  <si>
    <t>Comune di Villa san Giovanni in Tuscia</t>
  </si>
  <si>
    <t>COMUNE DI MONTALTO DI CASTRO</t>
  </si>
  <si>
    <t>SI.EL. Srl</t>
  </si>
  <si>
    <t>Comune di Proceno</t>
  </si>
  <si>
    <t>comune di roccagiovine</t>
  </si>
  <si>
    <t>COMUNE DI MEZZOLDO</t>
  </si>
  <si>
    <t>COMUNE DI VALDAONE</t>
  </si>
  <si>
    <t>COMUNE DI PIAZZOLO</t>
  </si>
  <si>
    <t>Comune di Canale Monterano</t>
  </si>
  <si>
    <t>Comune di Morlupo</t>
  </si>
  <si>
    <t>COMUNE DI RIOFREDDO</t>
  </si>
  <si>
    <t>COMUNE DI VALLEPIETRA</t>
  </si>
  <si>
    <t>Comune di Locatello</t>
  </si>
  <si>
    <t>Comune di Cerreto Laziale</t>
  </si>
  <si>
    <t>COMUNE DI CINETO ROMANO</t>
  </si>
  <si>
    <t>Comune di San Lorenzo Nuovo</t>
  </si>
  <si>
    <t>COMUNE DI CAPENA</t>
  </si>
  <si>
    <t>COMUNE DI SAN BIAGIO SARACINISCO</t>
  </si>
  <si>
    <t>COMUNE DI ISERNIA</t>
  </si>
  <si>
    <t>sasso costruzioni s.r.l.</t>
  </si>
  <si>
    <t>COMUNE DI SANT'ANGELO ROMANO</t>
  </si>
  <si>
    <t>COMUNE DI VITORCHIANO</t>
  </si>
  <si>
    <t>Comune di Licenza</t>
  </si>
  <si>
    <t>COMUNE DI GERANO</t>
  </si>
  <si>
    <t>COMUNE DI PETRONA'</t>
  </si>
  <si>
    <t>Comune di Calatafimi Segesta</t>
  </si>
  <si>
    <t>COMUNE DI CEMBRA LISIGNAGO</t>
  </si>
  <si>
    <t>COMUNE DI AMBIVERE</t>
  </si>
  <si>
    <t>COMUNE DI MADRUZZO</t>
  </si>
  <si>
    <t>Comune di Condrò</t>
  </si>
  <si>
    <t>comune di palma di montechiaro</t>
  </si>
  <si>
    <t>Comune di Marano Equo</t>
  </si>
  <si>
    <t>COMUNE DI PONTIDA</t>
  </si>
  <si>
    <t>comune arsoli</t>
  </si>
  <si>
    <t>COMUNE DI AVERARA</t>
  </si>
  <si>
    <t>COMUNE DI AVIATICO</t>
  </si>
  <si>
    <t>AMAG RETI IDRICHE S.P.A.</t>
  </si>
  <si>
    <t>COMUNE DI PERCILE</t>
  </si>
  <si>
    <t>COMUNE DI BUONALBERGO</t>
  </si>
  <si>
    <t>COMUNE DI NOVEDRATE</t>
  </si>
  <si>
    <t>Comune Civitella San Paolo</t>
  </si>
  <si>
    <t>Comune di Galati Mamertino</t>
  </si>
  <si>
    <t>A.SPE.CO.N.</t>
  </si>
  <si>
    <t>CONSORZIO ACQUEDOTTO BARDELLO, BIANDRONNO, BREGANO E MALGESSO</t>
  </si>
  <si>
    <t>COMUNE DI MARZIO</t>
  </si>
  <si>
    <t>So.r.i spa</t>
  </si>
  <si>
    <t>COMUNE DI MERCALLO</t>
  </si>
  <si>
    <t>Comune di Zeri</t>
  </si>
  <si>
    <t>COMUNE DI ALTA VALLE INTELVI</t>
  </si>
  <si>
    <t>Consorzio Regionale per lo Sviluppo delle Attività Produttive della Regione Calabria</t>
  </si>
  <si>
    <t>COMUNE DI BORGO LARES</t>
  </si>
  <si>
    <t>Comune di Vitulazio</t>
  </si>
  <si>
    <t>Comune di Ardore</t>
  </si>
  <si>
    <t>comune di pastorano</t>
  </si>
  <si>
    <t>COMUNE DI REITANO</t>
  </si>
  <si>
    <t>COMUNE DI COTRONEI</t>
  </si>
  <si>
    <t>Comune di Vicopisano</t>
  </si>
  <si>
    <t>COMUNE DI MONSUMMANO TERME</t>
  </si>
  <si>
    <t>COMUNE DI LAJATICO</t>
  </si>
  <si>
    <t>COMUNE DI BELGIOIOSO</t>
  </si>
  <si>
    <t>COMUNE DI CAPRAIA E LIMITE</t>
  </si>
  <si>
    <t>COMUNE DI MONTESPERTOLI</t>
  </si>
  <si>
    <t>COMUNE DI PIEVE A NIEVOLE</t>
  </si>
  <si>
    <t>COMUNE DI CERRETO GUIDI</t>
  </si>
  <si>
    <t>Comune di Poggibonsi</t>
  </si>
  <si>
    <t>COMUNE DI FRAZZANO'</t>
  </si>
  <si>
    <t>COMUNE DI PECCIOLI</t>
  </si>
  <si>
    <t>COMUNE DI AMBLAR-DON</t>
  </si>
  <si>
    <t>COMUNE DI GAMBASSI TERME</t>
  </si>
  <si>
    <t>COMUNE DI MONTAIONE</t>
  </si>
  <si>
    <t>S.E.C.I. SRL</t>
  </si>
  <si>
    <t>Consorzio tra Comuni per la Gestione del Servizio Idrico Integrato nel Crotonese</t>
  </si>
  <si>
    <t>ACQUEDOTTI DEL CALORE LUCANO S.P.A.</t>
  </si>
  <si>
    <t>COMUNE DI CASCIANA TERME LARI</t>
  </si>
  <si>
    <t>CONSORZIO VALLE CRATI</t>
  </si>
  <si>
    <t>COMUNE DI SAN NICOLA ARCELLA</t>
  </si>
  <si>
    <t>Acque Sud Service S.r.l.</t>
  </si>
  <si>
    <t>COMUNE DI SAN MARCO D'ALUNZIO</t>
  </si>
  <si>
    <t>C.A.M.A. srl</t>
  </si>
  <si>
    <t>COMUNE DI CONTA'</t>
  </si>
  <si>
    <t>Acque Bresciane Srl</t>
  </si>
  <si>
    <t>NUOVA PULISAN SUD</t>
  </si>
  <si>
    <t>CONSORZIO INTERCOMUNALE ACQUEDOTTO VINA</t>
  </si>
  <si>
    <t>Comune di Sefro</t>
  </si>
  <si>
    <t>COMUNE DI MACCAGNO CON PINO E VEDDASCA</t>
  </si>
  <si>
    <t>comune di casapulla</t>
  </si>
  <si>
    <t>COMUNE DI SCALA</t>
  </si>
  <si>
    <t>COMUNE GIARDINI-NAXOS</t>
  </si>
  <si>
    <t>COMUNE DI ALTO RENO TERME</t>
  </si>
  <si>
    <t>COMUNE DI SAGRON MIS</t>
  </si>
  <si>
    <t>COMUNE DI GARZENO</t>
  </si>
  <si>
    <t>CAISCAP</t>
  </si>
  <si>
    <t>COMUNE DI MAGREGLIO</t>
  </si>
  <si>
    <t>Comune di Trezzone</t>
  </si>
  <si>
    <t>Consorzio per lo Sviluppo Industriale di Campobasso-Bojano Ente Pubblico Economico</t>
  </si>
  <si>
    <t>COMUNE DI BERCETO</t>
  </si>
  <si>
    <t>COMUNE DI SALA COMACINA</t>
  </si>
  <si>
    <t>Comune di Fanano</t>
  </si>
  <si>
    <t>NOVITO ACQUE SRL</t>
  </si>
  <si>
    <t>Italgas Acqua S.p.A.</t>
  </si>
  <si>
    <t>COMUNE DI ABETONE CUTIGLIANO</t>
  </si>
  <si>
    <t>Comune di San Piero Patti</t>
  </si>
  <si>
    <t>COMUNE DI PALMI</t>
  </si>
  <si>
    <t>COMUNE DI TORREGROTTA</t>
  </si>
  <si>
    <t>COMUNE DI CERENZIA</t>
  </si>
  <si>
    <t>COMUNE DI COURMAYEUR</t>
  </si>
  <si>
    <t>COMUNE DI PRIZZI</t>
  </si>
  <si>
    <t>COMUNE DI BORGETTO</t>
  </si>
  <si>
    <t>Comune di Campolieto</t>
  </si>
  <si>
    <t>comune di collesano</t>
  </si>
  <si>
    <t>comune di belmonte mezzagno</t>
  </si>
  <si>
    <t>COMUNE DI GIULIANA</t>
  </si>
  <si>
    <t>COMUNE DI PORTOCANNONE</t>
  </si>
  <si>
    <t>COMUNE DI CAMPOFIORITO</t>
  </si>
  <si>
    <t>COMUNE DI CINISI</t>
  </si>
  <si>
    <t>COMUNE DI RASSA</t>
  </si>
  <si>
    <t>Comune di Altofonte</t>
  </si>
  <si>
    <t>COMUNE DI VICARI</t>
  </si>
  <si>
    <t>COMUNE DI TRABIA</t>
  </si>
  <si>
    <t>COMUNE DI RAMACCA</t>
  </si>
  <si>
    <t>COMUNE DI GADONI</t>
  </si>
  <si>
    <t>COMUNE DI PACECO</t>
  </si>
  <si>
    <t>COMUNE DI VINADIO</t>
  </si>
  <si>
    <t>COMUNE DI SAN GIACOMO DEGLI SCHIAVONI</t>
  </si>
  <si>
    <t>Comune di Montelepre</t>
  </si>
  <si>
    <t>COMUNE DI VALLELONGA</t>
  </si>
  <si>
    <t>comune di Librizzi</t>
  </si>
  <si>
    <t>COMUNE DI SINAGRA</t>
  </si>
  <si>
    <t>Comune di Furci Siculo</t>
  </si>
  <si>
    <t>comune di candidoni</t>
  </si>
  <si>
    <t>Comune di Ustica</t>
  </si>
  <si>
    <t>COMUNE DI SANT'ALFIO</t>
  </si>
  <si>
    <t>Comune di Mandanici</t>
  </si>
  <si>
    <t>Comune di  Gibellina</t>
  </si>
  <si>
    <t>Comune di Venetico</t>
  </si>
  <si>
    <t>COMUNE DI CASIGNANA</t>
  </si>
  <si>
    <t>COMUNE DI UCRIA</t>
  </si>
  <si>
    <t>COMUNE DI PETTINEO</t>
  </si>
  <si>
    <t>COMUNE DI MARSALA</t>
  </si>
  <si>
    <t>Comune di Tortora</t>
  </si>
  <si>
    <t>COMUNE DI VITA</t>
  </si>
  <si>
    <t>Comune di Ispica</t>
  </si>
  <si>
    <t>COMUNE DI CIMINA'</t>
  </si>
  <si>
    <t>comune di biccari</t>
  </si>
  <si>
    <t>Comune di Caronia</t>
  </si>
  <si>
    <t>COMUNE DI ROVITO</t>
  </si>
  <si>
    <t>COMUNE DI MARANO PRINCIPATO</t>
  </si>
  <si>
    <t>COMUNE DI FAETO</t>
  </si>
  <si>
    <t>COMUNE DI MISTRETTA</t>
  </si>
  <si>
    <t>Comune di Palazzo Adriano</t>
  </si>
  <si>
    <t>CONSORZIO BELLOLAMPO</t>
  </si>
  <si>
    <t>COMUNE DI CARONIA</t>
  </si>
  <si>
    <t>Comune di Cervicati</t>
  </si>
  <si>
    <t>COMUNE DI CAMPOFELICE DI ROCCELLA</t>
  </si>
  <si>
    <t>COMUNE DI PANETTIERI</t>
  </si>
  <si>
    <t>COMUNE SAN PIETRO IN GUARANO</t>
  </si>
  <si>
    <t>COMUNE DI MONGRASSANO</t>
  </si>
  <si>
    <t>Comune di Scigliano</t>
  </si>
  <si>
    <t>Comune di Firmo</t>
  </si>
  <si>
    <t>COMUNE DI SANTA DOMENICA TALAO</t>
  </si>
  <si>
    <t>COMUNE DI MONTEGIORDANO</t>
  </si>
  <si>
    <t>Comune di Argusto</t>
  </si>
  <si>
    <t>Comune di Sellia</t>
  </si>
  <si>
    <t>Comune di San Giorgio Morgeto</t>
  </si>
  <si>
    <t>Comune di Paterno Calabro</t>
  </si>
  <si>
    <t>COMUNE DI CASTIGLIONE COSENTINO</t>
  </si>
  <si>
    <t>COMUNE DI PARGHELIA</t>
  </si>
  <si>
    <t>COMUNE DI BORGIA</t>
  </si>
  <si>
    <t>COMUNE DI MOLTRASIO</t>
  </si>
  <si>
    <t>COMUNE DI ZUNGOLI</t>
  </si>
  <si>
    <t>COMUNE DI MERI'</t>
  </si>
  <si>
    <t>comune di mormanno</t>
  </si>
  <si>
    <t>COMUNE DI ROTA GRECA</t>
  </si>
  <si>
    <t>Comune di Taurianova</t>
  </si>
  <si>
    <t>Comune di Calvizzano</t>
  </si>
  <si>
    <t>COMUNE DI CASAL DI PRINCIPE</t>
  </si>
  <si>
    <t>COMUNE CASALVECCHIO SICULO</t>
  </si>
  <si>
    <t>Comune di Polizzi Generosa</t>
  </si>
  <si>
    <t>COMUNE CONFLENTI</t>
  </si>
  <si>
    <t>comune di Castel di Sasso</t>
  </si>
  <si>
    <t>Comune Capriati a Volturno</t>
  </si>
  <si>
    <t>Comune di Sellia Marina</t>
  </si>
  <si>
    <t>COMUNE DI GIOIA TAURO</t>
  </si>
  <si>
    <t>Comune di Milo</t>
  </si>
  <si>
    <t>Comune di Aragona</t>
  </si>
  <si>
    <t>Comune di Cetraro</t>
  </si>
  <si>
    <t>Comune di Settingiano</t>
  </si>
  <si>
    <t>Comune di Ragalna</t>
  </si>
  <si>
    <t>COMUNE DI TORRE LE NOCELLE</t>
  </si>
  <si>
    <t>COMUNE DI VILLA DI BRIANO</t>
  </si>
  <si>
    <t>Consorzio per la Depurazione dei Liquami Tra i Comuni di Giarre Riposto Mascali Fiumefreddo di Sicilia Sant'Alfio</t>
  </si>
  <si>
    <t>COMUNE DI MILAZZO</t>
  </si>
  <si>
    <t>COMUNE DI CAIANELLO</t>
  </si>
  <si>
    <t>Comune di Cassano Allo Ionio</t>
  </si>
  <si>
    <t>Comune di Rota d'Imagna</t>
  </si>
  <si>
    <t>COMUNE DI MANIACE</t>
  </si>
  <si>
    <t>COMUNE DI TAORMINA</t>
  </si>
  <si>
    <t>COMUNE DI IONADI</t>
  </si>
  <si>
    <t>COMUNE DI PIEDIMONTE ETNEO</t>
  </si>
  <si>
    <t>comune di solopaca</t>
  </si>
  <si>
    <t>Comune di Torre di Ruggiero</t>
  </si>
  <si>
    <t>comune di casavatore</t>
  </si>
  <si>
    <t>AQUA CONSULT TRATTAMENTO ACQUE</t>
  </si>
  <si>
    <t>Comune di Chiaravalle Centrale</t>
  </si>
  <si>
    <t>COMUNE DI LAINO CASTELLO</t>
  </si>
  <si>
    <t>COMUNE DI SAVA</t>
  </si>
  <si>
    <t>Comune di Gricignano di Aversa</t>
  </si>
  <si>
    <t>COMUNE DI CASTROVILLARI</t>
  </si>
  <si>
    <t>Comune di Casali del Manco</t>
  </si>
  <si>
    <t>Comune di San Marcellino</t>
  </si>
  <si>
    <t>COMUNE DI CAPODRISE</t>
  </si>
  <si>
    <t>COMUNE DI SAN NICOLA LA STRADA</t>
  </si>
  <si>
    <t>COMUNE DI TRENTOLA DUCENTA</t>
  </si>
  <si>
    <t>COMUNE DI MACERATA CAMPANIA</t>
  </si>
  <si>
    <t>Comune di Scalea</t>
  </si>
  <si>
    <t>COMUNE DI CRISPANO</t>
  </si>
  <si>
    <t>CONSORZIO ACQUA POTABILE DI SAGLIANO MICCA</t>
  </si>
  <si>
    <t>COMUNE DI CAPRIATE SAN GERVASIO</t>
  </si>
  <si>
    <t>COMUNE DI SAN PRISCO</t>
  </si>
  <si>
    <t>Comune di Panni</t>
  </si>
  <si>
    <t>COMUNE DI CAMPERTOGNO</t>
  </si>
  <si>
    <t>COMUNE DI CAPIZZI</t>
  </si>
  <si>
    <t>COMUNE DI MONTORO</t>
  </si>
  <si>
    <t>Comune di Cesarò</t>
  </si>
  <si>
    <t>COMUNE DI CAPO D'ORLANDO</t>
  </si>
  <si>
    <t>Comune di Celenza Valfortore (Fg)</t>
  </si>
  <si>
    <t>COMUNE DI CASTELVETRANO</t>
  </si>
  <si>
    <t>Comune di Succivo</t>
  </si>
  <si>
    <t>COMUNE DI GIOIOSA IONICA</t>
  </si>
  <si>
    <t>COMUNE DI CARAFFA DEL BIANCO</t>
  </si>
  <si>
    <t>COMUNE DI GUARDIA PIEMONTESE</t>
  </si>
  <si>
    <t>Comune di Bova Marina (RC)</t>
  </si>
  <si>
    <t>comune di partanna</t>
  </si>
  <si>
    <t>Comune di Pago Veiano</t>
  </si>
  <si>
    <t>COMUNE DI FRANCOLISE</t>
  </si>
  <si>
    <t>COMUNE DI POLISTENA</t>
  </si>
  <si>
    <t>CONSORZIO ACQUA POTABILE CAUSSO</t>
  </si>
  <si>
    <t>Comune di Soveria Simeri</t>
  </si>
  <si>
    <t>Comune di Bisignano</t>
  </si>
  <si>
    <t>COMUNE DI MELICUCCO</t>
  </si>
  <si>
    <t>COMUNE DI ANTILLO (ME)</t>
  </si>
  <si>
    <t>comune di caserta</t>
  </si>
  <si>
    <t>COMUNE DI DELIANUOVA</t>
  </si>
  <si>
    <t>COMUNE DI MUGNANO DI NAPOLI</t>
  </si>
  <si>
    <t>COMUNE DI CARAFFA DI CATANZARO</t>
  </si>
  <si>
    <t>COMUNE DI MEDOLAGO</t>
  </si>
  <si>
    <t>CONSORZIO ACQUA POTABILE DI MIAGLIANO</t>
  </si>
  <si>
    <t>Comune di Campobello di Mazara</t>
  </si>
  <si>
    <t>COMUNE DI OPPIDO MAMERTINA</t>
  </si>
  <si>
    <t>COMUNE DI SPORMINORE</t>
  </si>
  <si>
    <t>COMUNE DI CINQUEFRONDI</t>
  </si>
  <si>
    <t>COMUNE DI SCILLA</t>
  </si>
  <si>
    <t>COMUNE DI TERRANOVA DA SIBARI</t>
  </si>
  <si>
    <t>COMUNE DI SERRASTRETTA</t>
  </si>
  <si>
    <t>COMUNE DI VILLARICCA</t>
  </si>
  <si>
    <t>COMUNE DI CROSIA</t>
  </si>
  <si>
    <t>Comune di Capistrano</t>
  </si>
  <si>
    <t>Comune di San Cipriano d'Aversa</t>
  </si>
  <si>
    <t>COMUNE DI SAN GIOVANNI IN FIORE</t>
  </si>
  <si>
    <t>COMUNE DI SOVERATO</t>
  </si>
  <si>
    <t>COMUNE DI GIMIGLIANO</t>
  </si>
  <si>
    <t>COMUNE DI SALEMI</t>
  </si>
  <si>
    <t>COMUNE DI MIRABELLA ECLANO</t>
  </si>
  <si>
    <t>Comune di Monteforte Irpino</t>
  </si>
  <si>
    <t>COMUNE DI SANT'ALESSIO IN ASPROMONTE</t>
  </si>
  <si>
    <t>Comune di Cosenza</t>
  </si>
  <si>
    <t>COMUNE DI BUSSO</t>
  </si>
  <si>
    <t>Comune di Teverola</t>
  </si>
  <si>
    <t>COMUNE DI BELVEDERE MARITTIMO</t>
  </si>
  <si>
    <t>COMUNE DI CASTELLANA SICULA</t>
  </si>
  <si>
    <t>COMUNE DI ROMETTA</t>
  </si>
  <si>
    <t>COMUNE DI SARACENA</t>
  </si>
  <si>
    <t>COMUNE DI SAINT-VINCENT</t>
  </si>
  <si>
    <t>COMUNE DI MONTALTO UFFUGO</t>
  </si>
  <si>
    <t>comune di pizzo</t>
  </si>
  <si>
    <t>COMUNE DI SAN MARCO ARGENTANO</t>
  </si>
  <si>
    <t>comune di Santa Caterina Albanese</t>
  </si>
  <si>
    <t>COMUNE DI PALOMONTE</t>
  </si>
  <si>
    <t>COMUNE DI SANT'AGATA MILITELLO</t>
  </si>
  <si>
    <t>COMUNE DI ROSE</t>
  </si>
  <si>
    <t>COMUNE DI ROCCAVIGNALE</t>
  </si>
  <si>
    <t>Comune di Villa Literno</t>
  </si>
  <si>
    <t>COMUNE DI SAN SOSTI</t>
  </si>
  <si>
    <t>COMUNE DI ROGGIANO GRAVINA</t>
  </si>
  <si>
    <t>COMUNE SAN PIETRO APOSTOLO</t>
  </si>
  <si>
    <t>COMUNE DI MOLOCHIO</t>
  </si>
  <si>
    <t>COMUNE DI ACQUEDOLCI</t>
  </si>
  <si>
    <t>Comune di Frascineto</t>
  </si>
  <si>
    <t>COMUNE DI PIANOPOLI</t>
  </si>
  <si>
    <t>ECOTEC S.R.L.</t>
  </si>
  <si>
    <t>COMUNE DI ARIENZO</t>
  </si>
  <si>
    <t>Comune di Grottaminarda</t>
  </si>
  <si>
    <t>COMUNE DI ACRI</t>
  </si>
  <si>
    <t>COMUNE DI MONTEBELLO JONICO</t>
  </si>
  <si>
    <t>COMUNE DI PIETRAFITTA</t>
  </si>
  <si>
    <t>COMUNE DI VILLAFRATI</t>
  </si>
  <si>
    <t>COMUNE DI ZUMPANO</t>
  </si>
  <si>
    <t>Comune di Avola</t>
  </si>
  <si>
    <t>Comune di Trebisacce</t>
  </si>
  <si>
    <t>COMUNE DI PETROSINO</t>
  </si>
  <si>
    <t>COMUNE DI MOTTAFOLLONE</t>
  </si>
  <si>
    <t>COMUNE DI SACCO</t>
  </si>
  <si>
    <t>Comune di Montecilfone</t>
  </si>
  <si>
    <t>COMUNE DI BRUZOLO</t>
  </si>
  <si>
    <t>COMUNE DI MALVITO</t>
  </si>
  <si>
    <t>COMUNE DI LUSTRA</t>
  </si>
  <si>
    <t>COMUNE DI PORTICO DI CASERTA</t>
  </si>
  <si>
    <t>COMUNE DI MENDICINO</t>
  </si>
  <si>
    <t>Comune di Sant'Onofrio</t>
  </si>
  <si>
    <t>COMUNE DI CORIGLIANO-ROSSANO</t>
  </si>
  <si>
    <t>COMUNE DI FALCONE</t>
  </si>
  <si>
    <t>COMUNE DI ERICE</t>
  </si>
  <si>
    <t>COMUNE DI CELLOLE</t>
  </si>
  <si>
    <t>Comune di Caivano</t>
  </si>
  <si>
    <t>COMUNE DI CARLOPOLI</t>
  </si>
  <si>
    <t>COMUNE DI ARIANO IRPINO</t>
  </si>
  <si>
    <t>CONSORZIO DI SVILUPPO INDUSTRIALE DELLE VALLI DEL TRONTO DELL'ASO E DEL TESINO</t>
  </si>
  <si>
    <t>COMUNE DI CAPACCIO PAESTUM</t>
  </si>
  <si>
    <t>COMUNE DI LAURINO</t>
  </si>
  <si>
    <t>COMUNE DI FALCONARA ALBANESE</t>
  </si>
  <si>
    <t>COMUNE DI PARETE</t>
  </si>
  <si>
    <t>COMUNE DI CORVARA</t>
  </si>
  <si>
    <t>Comune di Girifalco</t>
  </si>
  <si>
    <t>Comune di Mazara del Vallo</t>
  </si>
  <si>
    <t>COMUNE DI AMANTEA</t>
  </si>
  <si>
    <t>COMUNE DI LATTARICO</t>
  </si>
  <si>
    <t>COMUNE DI OLIVERI</t>
  </si>
  <si>
    <t>COMUNE DI SAN VALENTINO IN ABRUZZO CITERIORE</t>
  </si>
  <si>
    <t>COMUNE DI BAGALADI</t>
  </si>
  <si>
    <t>COMUNE DI CROPALATI</t>
  </si>
  <si>
    <t>COMUNE DI SANT'AGATA DI ESARO</t>
  </si>
  <si>
    <t>Comune di Patti</t>
  </si>
  <si>
    <t>COMUNE DI PERTICA BASSA</t>
  </si>
  <si>
    <t>COMUNE DI VINCHIATURO</t>
  </si>
  <si>
    <t>COMUNE DI CENTRO VALLE INTELVI</t>
  </si>
  <si>
    <t>COMUNE DI CELICO</t>
  </si>
  <si>
    <t>COMUNE DI SAN DONATO DI NINEA</t>
  </si>
  <si>
    <t>COMUNE DI CRUCOLI</t>
  </si>
  <si>
    <t>COMUNE DI ALI' TERME</t>
  </si>
  <si>
    <t>COMUNE DI SOLARINO</t>
  </si>
  <si>
    <t>COMUNE DI FERRUZZANO</t>
  </si>
  <si>
    <t>comune di Platania</t>
  </si>
  <si>
    <t>COMUNE DI RIONERO SANNITICO</t>
  </si>
  <si>
    <t>COMUNE DI LAGO</t>
  </si>
  <si>
    <t>COMUNE DI SANT'EUFEMIA A MAIELLA</t>
  </si>
  <si>
    <t>COMUNE DI SANTA ELISABETTA</t>
  </si>
  <si>
    <t>comune di villamaina</t>
  </si>
  <si>
    <t>COMUNE DI CERZETO</t>
  </si>
  <si>
    <t>comune di joppolo giancaxio</t>
  </si>
  <si>
    <t>comune di sambuca di sicilia</t>
  </si>
  <si>
    <t>COMUNE DI GERACE</t>
  </si>
  <si>
    <t>Comune di Santo Stefano Quisquina</t>
  </si>
  <si>
    <t>Comune di Giustenice</t>
  </si>
  <si>
    <t>COMUNE DI ONZO</t>
  </si>
  <si>
    <t>Comune di Gizzeria</t>
  </si>
  <si>
    <t>COMUNE DI TORANO CASTELLO</t>
  </si>
  <si>
    <t>COMUNE DI ARGEGNO</t>
  </si>
  <si>
    <t>COMUNE DI LIMONE SUL GARDA</t>
  </si>
  <si>
    <t>COMUNE DI FEROLETO ANTICO</t>
  </si>
  <si>
    <t>COMUNE DI MARTIRANO LOMBARDO</t>
  </si>
  <si>
    <t>COMUNE DI TIRIOLO</t>
  </si>
  <si>
    <t>COMUNE  DI  ORTOVERO</t>
  </si>
  <si>
    <t>COMUNE DI FICARRA</t>
  </si>
  <si>
    <t>COMUNE DI CITTANOVA</t>
  </si>
  <si>
    <t>COMUNE DI CASTROREGIO</t>
  </si>
  <si>
    <t>COMUNE DI CASTEL SAN VINCENZO</t>
  </si>
  <si>
    <t>COMUNE DI AMARONI</t>
  </si>
  <si>
    <t>Comune di Cerchiara di Calabria</t>
  </si>
  <si>
    <t>comune di gasperina</t>
  </si>
  <si>
    <t>COMUNE SANTO STEFANO DI ROGLIANO</t>
  </si>
  <si>
    <t>COMUNE SAN PIETRO A MAIDA</t>
  </si>
  <si>
    <t>COMUNE DI GIUNGANO</t>
  </si>
  <si>
    <t>comune di rombiolo</t>
  </si>
  <si>
    <t>COMUNE DI MORRA DE SANCTIS</t>
  </si>
  <si>
    <t>COMUNE DI MACCHIA VALFORTORE</t>
  </si>
  <si>
    <t>COMUNE DI LARINO</t>
  </si>
  <si>
    <t>COMUNE DI GUARDIA LOMBARDI</t>
  </si>
  <si>
    <t>Comune di Basicò</t>
  </si>
  <si>
    <t>COMUNE DI ALTAVILLA SILENTINA</t>
  </si>
  <si>
    <t>COMUNE DI MIGLIERINA</t>
  </si>
  <si>
    <t>COMUNE DI SANTA CRISTINA D'ASPROMONTE</t>
  </si>
  <si>
    <t>COMUNE DI CAMMARATA</t>
  </si>
  <si>
    <t>COMUNE DI CIANCIANA</t>
  </si>
  <si>
    <t>COMUNE  DI  ACERNO</t>
  </si>
  <si>
    <t>COMUNE DI PEDIVIGLIANO</t>
  </si>
  <si>
    <t>COMUNE DI GRIMALDI</t>
  </si>
  <si>
    <t>comune di longobucco</t>
  </si>
  <si>
    <t>Comune di Alessandria della Rocca</t>
  </si>
  <si>
    <t>comune di san marco la catola</t>
  </si>
  <si>
    <t>COMUNE DI SPEZZANO DELLA SILA</t>
  </si>
  <si>
    <t>COMUNE DI SERRATA</t>
  </si>
  <si>
    <t>COMUNE DI PIGNATARO MAGGIORE</t>
  </si>
  <si>
    <t>COMUNE DI SCALA COELI</t>
  </si>
  <si>
    <t>Comune di Terravecchia</t>
  </si>
  <si>
    <t>COMUNE DI CISANO SUL NEVA</t>
  </si>
  <si>
    <t>Comune di Senerchia</t>
  </si>
  <si>
    <t>COMUNE DI MONASTERACE</t>
  </si>
  <si>
    <t>COMUNE DI VARAPODIO</t>
  </si>
  <si>
    <t>COMUNE DI SAN FILI</t>
  </si>
  <si>
    <t>COMUNE DI SAN LORENZO BELLIZZI</t>
  </si>
  <si>
    <t>COMUNE DI LONGOBARDI</t>
  </si>
  <si>
    <t>COMUNE DI PIETRABBONDANTE</t>
  </si>
  <si>
    <t>COMUNE DI SASSELLO</t>
  </si>
  <si>
    <t>CONSORZIO BONIFICA DI PAESTUM</t>
  </si>
  <si>
    <t>VOLTURNO MULTIUTILITY SPA IN LIQUIDAZIONE</t>
  </si>
  <si>
    <t>COMUNE DI ALI'</t>
  </si>
  <si>
    <t>COMUNE DI BIANCHI</t>
  </si>
  <si>
    <t>COMUNE DI BISACQUINO</t>
  </si>
  <si>
    <t>Comune di Sesto Campano</t>
  </si>
  <si>
    <t>Comune di Godrano</t>
  </si>
  <si>
    <t>COMUNE DI ARNASCO</t>
  </si>
  <si>
    <t>Comune di Comiso</t>
  </si>
  <si>
    <t>COMUNE DI ROCCAPALUMBA</t>
  </si>
  <si>
    <t>COMUNE DI SAN LUCIDO</t>
  </si>
  <si>
    <t>Comune di Rocca Canterano</t>
  </si>
  <si>
    <t>Comune di San Marco Evangelista</t>
  </si>
  <si>
    <t>comune di Petrella Tifernina</t>
  </si>
  <si>
    <t>COMUNE CANCELLO ED ARNONE (CE)</t>
  </si>
  <si>
    <t>COMUNE DI FURNARI</t>
  </si>
  <si>
    <t>COMUNE DI MOTTA SANTA LUCIA</t>
  </si>
  <si>
    <t>COMUNE DI CAMERATA NUOVA</t>
  </si>
  <si>
    <t>COMUNE DI CALVANICO</t>
  </si>
  <si>
    <t>Unité des Communes valdotaines Valdigne-Mont-Blanc</t>
  </si>
  <si>
    <t>COMUNE DI SPEZZANO ALBANESE</t>
  </si>
  <si>
    <t>COMUNE DI CHEREMULE</t>
  </si>
  <si>
    <t>COMUNE DI SANT'ILARIO DELLO IONIO</t>
  </si>
  <si>
    <t>COMUNE DI MONFORTE SAN GIORGIO</t>
  </si>
  <si>
    <t>COMUNE DI ACQUAFORMOSA</t>
  </si>
  <si>
    <t>COMUNE DI BAGHERIA</t>
  </si>
  <si>
    <t>Consorzio di Bonifica della Basilicata</t>
  </si>
  <si>
    <t>COMUNE DI  CAULONIA</t>
  </si>
  <si>
    <t>COMUNE DI FUSCALDO</t>
  </si>
  <si>
    <t>COMUNE DI GIOIOSA MAREA</t>
  </si>
  <si>
    <t>COMUNE DI CORTALE</t>
  </si>
  <si>
    <t>COMUNE DI ISNELLO</t>
  </si>
  <si>
    <t>COMUNE DI MARINA DI GIOIOSA IONICA</t>
  </si>
  <si>
    <t>COMUNE DI SAN GIORGIO ALBANESE</t>
  </si>
  <si>
    <t>comune di castellammare del golfo</t>
  </si>
  <si>
    <t>COMUNE DI SEMINARA</t>
  </si>
  <si>
    <t>COMUNE DI BAUCINA</t>
  </si>
  <si>
    <t>COMUNE DI ACQUARO</t>
  </si>
  <si>
    <t>Comune di Samo</t>
  </si>
  <si>
    <t>COMUNE DI TARSIA</t>
  </si>
  <si>
    <t>COMUNE DI SAN VINCENZO LA COSTA</t>
  </si>
  <si>
    <t>COMUNE DI BROGNATURO</t>
  </si>
  <si>
    <t>COMUNE DI ROCCAPIEMONTE</t>
  </si>
  <si>
    <t>nuova mix</t>
  </si>
  <si>
    <t>Comune di Martirano</t>
  </si>
  <si>
    <t>COMUNE DI TORTORICI</t>
  </si>
  <si>
    <t>COMUNE DI LUNGRO</t>
  </si>
  <si>
    <t>COMUNE DI CARIATI</t>
  </si>
  <si>
    <t>COMUNE DI CONTESSA ENTELLINA</t>
  </si>
  <si>
    <t>COMUNE DI SAN GIOVANNI DI GERACE</t>
  </si>
  <si>
    <t>COMUNE DI CIRO' MARINA</t>
  </si>
  <si>
    <t>COMUNE DI SOLBIATE CON CAGNO</t>
  </si>
  <si>
    <t>COMUNE DI VAIRANO PATENORA</t>
  </si>
  <si>
    <t>COMUNE DI RIZZICONI</t>
  </si>
  <si>
    <t>COMUNE DI TERME VIGLIATORE</t>
  </si>
  <si>
    <t>CAPT CONSORZIO ACQUA POTABILE DI TAVIGLIANO S.</t>
  </si>
  <si>
    <t>COMUNE DI NUSCO</t>
  </si>
  <si>
    <t>COMUNE DI SPADOLA</t>
  </si>
  <si>
    <t>CUAPTI CONSORZIO UTENTI ACQUA POTATILE TAVIGLIANO INFERIORE</t>
  </si>
  <si>
    <t>COMUNE DI SAN DEMETRIO CORONE</t>
  </si>
  <si>
    <t>comune di Altomonte</t>
  </si>
  <si>
    <t>COMUNE DI NASO</t>
  </si>
  <si>
    <t>COMUNE DI SAN CALOGERO</t>
  </si>
  <si>
    <t>COMUNE DI VILLAPIANA</t>
  </si>
  <si>
    <t>COMUNE DI SAN FERDINANDO</t>
  </si>
  <si>
    <t>COMUNE DI CROPANI</t>
  </si>
  <si>
    <t>COMUNE DI GUARDAVALLE</t>
  </si>
  <si>
    <t>COMUNE DI SAN TAMMARO</t>
  </si>
  <si>
    <t>Comune di Brolo</t>
  </si>
  <si>
    <t>COMUNE DI CONDOFURI</t>
  </si>
  <si>
    <t>COMUNE DI CURINGA</t>
  </si>
  <si>
    <t>Comune di Rende</t>
  </si>
  <si>
    <t>COMUNE DI MOTTA SAN GIOVANNI</t>
  </si>
  <si>
    <t>COMUNE DI SANTA MARIA DEL MOLISE</t>
  </si>
  <si>
    <t>COMUNE DI BUCCINO</t>
  </si>
  <si>
    <t>Comune di Bisaccia</t>
  </si>
  <si>
    <t>comune di botricello</t>
  </si>
  <si>
    <t>COMUNE CERRETO SANNITA</t>
  </si>
  <si>
    <t>COMUNE DI CARCOFORO</t>
  </si>
  <si>
    <t>Comune di San Nicola Manfredi</t>
  </si>
  <si>
    <t>comune Acquaviva d'Isernia</t>
  </si>
  <si>
    <t>COMUNE DI FALERNA</t>
  </si>
  <si>
    <t>COMUNE DI SCAPOLI</t>
  </si>
  <si>
    <t>COMUNE DI MOTTA CAMASTRA</t>
  </si>
  <si>
    <t>Comune di Custonaci</t>
  </si>
  <si>
    <t>comune di montecalvo irpino</t>
  </si>
  <si>
    <t>comune di san vito lo capo</t>
  </si>
  <si>
    <t>Comune di Saponara</t>
  </si>
  <si>
    <t>COMUNE DI SANTA SOFIA D'EPIRO</t>
  </si>
  <si>
    <t>COMUNE DI GALLO MATESE</t>
  </si>
  <si>
    <t>COMUNE DI CHIGNOLO D'ISOLA</t>
  </si>
  <si>
    <t>COMUNE DI ROTONDA</t>
  </si>
  <si>
    <t>Comune di San Leucio del Sannio</t>
  </si>
  <si>
    <t>COMUNE DI ROCCALUMERA</t>
  </si>
  <si>
    <t>COMUNE DI LAUREANA DI BORRELLO</t>
  </si>
  <si>
    <t>COMUNE DI CEPPALONI</t>
  </si>
  <si>
    <t>COMUNE DI GIOIA SANNITICA</t>
  </si>
  <si>
    <t>Comune di Cerisano</t>
  </si>
  <si>
    <t>Comune di Soveria Mannelli</t>
  </si>
  <si>
    <t>COMUNE DI MELISSA</t>
  </si>
  <si>
    <t>Comune di Limbadi</t>
  </si>
  <si>
    <t>COMUNE DI ROCCA IMPERIALE</t>
  </si>
  <si>
    <t>comune di nizza di sicilia</t>
  </si>
  <si>
    <t>Comune di Camastra</t>
  </si>
  <si>
    <t>COMUNE DI PAGLIARA</t>
  </si>
  <si>
    <t>COMUNE DI FAGNANO CASTELLO</t>
  </si>
  <si>
    <t>COMUNE DI MARANO MARCHESATO</t>
  </si>
  <si>
    <t>COMUNE DI TAVERNA</t>
  </si>
  <si>
    <t>COMUNE DI VERBICARO</t>
  </si>
  <si>
    <t>COMUNE DI PETRIZZI</t>
  </si>
  <si>
    <t>comune San Biagio Platani</t>
  </si>
  <si>
    <t>COMUNE DI SAN PIETRO IN AMANTEA</t>
  </si>
  <si>
    <t>Comune di Riolunato</t>
  </si>
  <si>
    <t>COMUNE DI CUTRO</t>
  </si>
  <si>
    <t>COMUNE DI RIPALIMOSANI</t>
  </si>
  <si>
    <t>COMUNE DI LUVINATE</t>
  </si>
  <si>
    <t>DIVINA SERVICE SRLS</t>
  </si>
  <si>
    <t>COMUNE SERRA D'AIELLO</t>
  </si>
  <si>
    <t>COMUNE DI ISCA SULLO IONIO</t>
  </si>
  <si>
    <t>COMUNE DI APRIGLIANO</t>
  </si>
  <si>
    <t>Comune di Amendolara</t>
  </si>
  <si>
    <t>Comune di Jacurso</t>
  </si>
  <si>
    <t>Comune di Fiumefreddo Bruzio</t>
  </si>
  <si>
    <t>COMUNE DI CESSANITI</t>
  </si>
  <si>
    <t>COMUNE DI FLUMERI</t>
  </si>
  <si>
    <t>COMUNE DI STURNO</t>
  </si>
  <si>
    <t>Comune di  Grotteria</t>
  </si>
  <si>
    <t>COMUNE DI SANT'ANGELO DI BROLO</t>
  </si>
  <si>
    <t>comune di san lorenzo del vallo</t>
  </si>
  <si>
    <t>comune di arena</t>
  </si>
  <si>
    <t>COMUNE DI CONTRADA</t>
  </si>
  <si>
    <t>COMUNE DI SANT'ALESSIO SICULO</t>
  </si>
  <si>
    <t>Comune di Africo</t>
  </si>
  <si>
    <t>comune di vallata</t>
  </si>
  <si>
    <t>COMUNE DI BIVONA</t>
  </si>
  <si>
    <t>COMUNE DI PERITO</t>
  </si>
  <si>
    <t>Comune di Cicerale (Sa)</t>
  </si>
  <si>
    <t>comune di montemiletto</t>
  </si>
  <si>
    <t>Comune di Squillace</t>
  </si>
  <si>
    <t>COMUNE DI SAN LORENZO</t>
  </si>
  <si>
    <t>Comune di Felitto</t>
  </si>
  <si>
    <t>COMUNE DI MELICUCCA'</t>
  </si>
  <si>
    <t>COMUNE DI BAIA E LATINA</t>
  </si>
  <si>
    <t>Comune di San Fratello</t>
  </si>
  <si>
    <t>COMUNE SANTO STEFANO IN ASPROMONTE</t>
  </si>
  <si>
    <t>COMUNE DI CIVITELLA ROVETO</t>
  </si>
  <si>
    <t>Comune di Serramezzana</t>
  </si>
  <si>
    <t>comune di barrafranca</t>
  </si>
  <si>
    <t>COMUNE DI BONIFATI</t>
  </si>
  <si>
    <t>COMUNE DI RIACE</t>
  </si>
  <si>
    <t>comune di graniti</t>
  </si>
  <si>
    <t>COMUNE DI CARERI</t>
  </si>
  <si>
    <t>COMUNE DI SANT'ANGELO DEL PESCO</t>
  </si>
  <si>
    <t>COMUNE DI AMOROSI</t>
  </si>
  <si>
    <t>COMUNE DI MAMMOLA</t>
  </si>
  <si>
    <t>comune di stalettì</t>
  </si>
  <si>
    <t>comune di san costantino calabro</t>
  </si>
  <si>
    <t>Comune di Valle di Maddaloni</t>
  </si>
  <si>
    <t>COMUNE DI VALLE DELL'ANGELO</t>
  </si>
  <si>
    <t>COMUNE DI SANT'ANGELO MUXARO</t>
  </si>
  <si>
    <t>COMUNE DI CASTELVENERE</t>
  </si>
  <si>
    <t>COMUNE DI MIOGLIA</t>
  </si>
  <si>
    <t>COMUNE DI CALVI</t>
  </si>
  <si>
    <t>COMUNE DI SORIANO CALABRO</t>
  </si>
  <si>
    <t>Comune di Roccamonfina</t>
  </si>
  <si>
    <t>COMUNE DI CENGIO</t>
  </si>
  <si>
    <t>COMUNE DI MARCELLINARA</t>
  </si>
  <si>
    <t>COMUNE DI GALATRO</t>
  </si>
  <si>
    <t>COMUNE DI SANT'ANNA ARRESI</t>
  </si>
  <si>
    <t>COMUNE DI PATERNOPOLI</t>
  </si>
  <si>
    <t>COMUNE DI DRAPIA</t>
  </si>
  <si>
    <t>COMUNE DI ORIOLO</t>
  </si>
  <si>
    <t>Comune di Sinopoli</t>
  </si>
  <si>
    <t>comune di galluccio</t>
  </si>
  <si>
    <t>COMUNE DI RODI' MILICI</t>
  </si>
  <si>
    <t>comune di simbario</t>
  </si>
  <si>
    <t>COMUNE DI BUONVICINO</t>
  </si>
  <si>
    <t>COMUNE DI VOLTURINO</t>
  </si>
  <si>
    <t>Comune di Feroleto della Chiesa</t>
  </si>
  <si>
    <t>COMUNE DI AGGIUS</t>
  </si>
  <si>
    <t>COMUNE DI SANTOMENNA</t>
  </si>
  <si>
    <t>comune di Andretta</t>
  </si>
  <si>
    <t>COMUNE DI AGOSTA</t>
  </si>
  <si>
    <t>COMUNE DI FILANDARI</t>
  </si>
  <si>
    <t>COMUNE DI PRESENZANO</t>
  </si>
  <si>
    <t>COMUNE DI ANOIA</t>
  </si>
  <si>
    <t>COMUNE ROSETO CAPO SPULICO</t>
  </si>
  <si>
    <t>Comune di Giffone</t>
  </si>
  <si>
    <t>Comune di Dinami</t>
  </si>
  <si>
    <t>COMUNE DI LAINO BORGO</t>
  </si>
  <si>
    <t>Comune di Sant'Andrea Apostolo dello Ionio</t>
  </si>
  <si>
    <t>COMUNE DI GRISOLIA</t>
  </si>
  <si>
    <t>COMUNE FRANCAVILLA ANGITOLA</t>
  </si>
  <si>
    <t>Comune di Francavilla Marittima</t>
  </si>
  <si>
    <t>COMUNE DI PARENTI</t>
  </si>
  <si>
    <t>COMUNE DI GAGLIATO</t>
  </si>
  <si>
    <t>COMUNE DI PIANE CRATI</t>
  </si>
  <si>
    <t>comune di cardeto</t>
  </si>
  <si>
    <t>COMUNE DI CALOPEZZATI</t>
  </si>
  <si>
    <t>comune di Sangineto</t>
  </si>
  <si>
    <t>COMUNE DI LOTZORAI</t>
  </si>
  <si>
    <t>COMUNE DI MAZZARRA' SANT'ANDREA</t>
  </si>
  <si>
    <t>comune di Poggioreale</t>
  </si>
  <si>
    <t>COMUNE DI CLETO</t>
  </si>
  <si>
    <t>Comune di Colli a Volturno</t>
  </si>
  <si>
    <t>comune di Novara di sicilia</t>
  </si>
  <si>
    <t>COMUNE DI CUSINO</t>
  </si>
  <si>
    <t>COMUNE DI MONTEMEZZO</t>
  </si>
  <si>
    <t>COMUNE DI GRANTOLA</t>
  </si>
  <si>
    <t>COMUNI DI PALERMITI</t>
  </si>
  <si>
    <t>COMUNE DI BELCASTRO</t>
  </si>
  <si>
    <t>COMUNE DI ORSOMARSO</t>
  </si>
  <si>
    <t>comune di caloveto</t>
  </si>
  <si>
    <t>COMUNE DI FILOGASO</t>
  </si>
  <si>
    <t>comune di Maierà</t>
  </si>
  <si>
    <t>COMUNE DI MIRTO</t>
  </si>
  <si>
    <t>COMUNE DI CASACALENDA</t>
  </si>
  <si>
    <t>COMUNE DI MILITELLO ROSMARINO</t>
  </si>
  <si>
    <t>COMUNE DI PRATA SANNITA</t>
  </si>
  <si>
    <t>COMUNE DI ANTONIMINA</t>
  </si>
  <si>
    <t>COMUNE DI FIUMALBO</t>
  </si>
  <si>
    <t>comune di san pietro di caridà</t>
  </si>
  <si>
    <t>COMUNE DI SAN BENEDETTO ULLANO</t>
  </si>
  <si>
    <t>COMUNE DI MAGISANO</t>
  </si>
  <si>
    <t>COMUNE DI ROCCAVALDINA</t>
  </si>
  <si>
    <t>COMUNE DI MONTAURO</t>
  </si>
  <si>
    <t>COMUNE DI PIZZONI</t>
  </si>
  <si>
    <t>COMUNE DI PIETRAPAOLA</t>
  </si>
  <si>
    <t>Comune di Sorbo San Basile</t>
  </si>
  <si>
    <t>Comune di San Sostene</t>
  </si>
  <si>
    <t>COMUNE DI BELLONA</t>
  </si>
  <si>
    <t>COMUNE DI SAN TEODORO</t>
  </si>
  <si>
    <t>comune di Vazzano</t>
  </si>
  <si>
    <t>COMUNE DI SICIGNANO DEGLI ALBURNI</t>
  </si>
  <si>
    <t>COMUNE DI RUVIANO</t>
  </si>
  <si>
    <t>COMUNE DI ROGHUDI</t>
  </si>
  <si>
    <t>comune di San Basile</t>
  </si>
  <si>
    <t>comune di roccamandolfi</t>
  </si>
  <si>
    <t>COMUNE DI DRAGONI</t>
  </si>
  <si>
    <t>Comune di Rocchetta a Volturno</t>
  </si>
  <si>
    <t>COMUNE DI PORTIGLIOLA</t>
  </si>
  <si>
    <t>comune di fondachelli fantina</t>
  </si>
  <si>
    <t>comune di lupara</t>
  </si>
  <si>
    <t>comune di calabritto</t>
  </si>
  <si>
    <t>COMUNE DI MASSIMINO</t>
  </si>
  <si>
    <t>COMUNE DI GIUSVALLA</t>
  </si>
  <si>
    <t>Comune di Vaccarizzo Albanese</t>
  </si>
  <si>
    <t>Comune di San Martino di Finita</t>
  </si>
  <si>
    <t>Comune di Sorianello</t>
  </si>
  <si>
    <t>Comune di Dasà</t>
  </si>
  <si>
    <t>comune di santa ninfa</t>
  </si>
  <si>
    <t>Comune di Alberona</t>
  </si>
  <si>
    <t>Comune di  San Lupo</t>
  </si>
  <si>
    <t>COMUNE DI OSIGLIA</t>
  </si>
  <si>
    <t>Comune di Santa Marina Salina</t>
  </si>
  <si>
    <t>comune di ottati</t>
  </si>
  <si>
    <t>COMUNE DI CERRO AL VOLTURNO</t>
  </si>
  <si>
    <t>comune Mongiana</t>
  </si>
  <si>
    <t>COMUNE DI CAMINI</t>
  </si>
  <si>
    <t>COMUNE DI CANOLO</t>
  </si>
  <si>
    <t>COMUNE DI COSOLETO</t>
  </si>
  <si>
    <t>COMUNE DI FONTEGRECA</t>
  </si>
  <si>
    <t>COMUNE DI CANNA</t>
  </si>
  <si>
    <t>Comune di Letino</t>
  </si>
  <si>
    <t>Comune di Aieta</t>
  </si>
  <si>
    <t>Comune di Domanico</t>
  </si>
  <si>
    <t>comune di zaccanopoli</t>
  </si>
  <si>
    <t>Comune di Malfa</t>
  </si>
  <si>
    <t>COMUNE DI MONGIUFFI MELIA</t>
  </si>
  <si>
    <t>COMUNE DI SAN COSMO ALBANESE</t>
  </si>
  <si>
    <t>COMUNE DI FOSSATO SERRALTA</t>
  </si>
  <si>
    <t>Comune di Raviscanina</t>
  </si>
  <si>
    <t>COMUNE DI TERRANOVA SAPPO MINULIO</t>
  </si>
  <si>
    <t>COMUNE DI PONTINVREA</t>
  </si>
  <si>
    <t>COMUNE DI FORLI' DEL SANNIO</t>
  </si>
  <si>
    <t>COMUNE NOVI VELIA</t>
  </si>
  <si>
    <t>COMUNE DI CASTELMOLA</t>
  </si>
  <si>
    <t>COMUNE DI PAPASIDERO</t>
  </si>
  <si>
    <t>Comune di San Gregorio Matese</t>
  </si>
  <si>
    <t>COMUNE DI VALLE AGRICOLA</t>
  </si>
  <si>
    <t>COMUNE DI MALITO</t>
  </si>
  <si>
    <t>Comune di San Procopio</t>
  </si>
  <si>
    <t>COMUNE DI PALUDI</t>
  </si>
  <si>
    <t>COMUNE DI LONGI</t>
  </si>
  <si>
    <t>COMUNE DI VOLTURARA APPULA</t>
  </si>
  <si>
    <t>Comune di Fiumara</t>
  </si>
  <si>
    <t>comune di civita</t>
  </si>
  <si>
    <t>COMUNE DI SAN PIETRO INFINE</t>
  </si>
  <si>
    <t>COMUNE MONTANO ANTILIA</t>
  </si>
  <si>
    <t>COMUNE DI BOVA</t>
  </si>
  <si>
    <t>COMUNE DI CARPANZANO</t>
  </si>
  <si>
    <t>COMUNE DI LAGANADI</t>
  </si>
  <si>
    <t>comune di sassano</t>
  </si>
  <si>
    <t>COMUNE DI MARCEDUSA</t>
  </si>
  <si>
    <t>COMUNE DI SANTA MARINA</t>
  </si>
  <si>
    <t>COMUNE DI CASABONA</t>
  </si>
  <si>
    <t>COMUNE DI CELLE DI SAN VITO</t>
  </si>
  <si>
    <t>comune di opi</t>
  </si>
  <si>
    <t>COMUNE DI ROCCAFIORITA</t>
  </si>
  <si>
    <t>COMUNE DI OLIVADI</t>
  </si>
  <si>
    <t>COMUNE DI PLACANICA</t>
  </si>
  <si>
    <t>COMUNE DI CIORLANO</t>
  </si>
  <si>
    <t>COMUNE DI FLORESTA</t>
  </si>
  <si>
    <t>COMUNE DI ORRIA</t>
  </si>
  <si>
    <t>comune di castel san lorenzo</t>
  </si>
  <si>
    <t>COMUNE COLLIANO</t>
  </si>
  <si>
    <t>COMUNE DI ALESSANDRIA DEL CARRETTO</t>
  </si>
  <si>
    <t>comune di San Mauro Marchesato</t>
  </si>
  <si>
    <t>COMUNE DI MORIGERATI</t>
  </si>
  <si>
    <t>comune di Pago del Vallo di Lauro</t>
  </si>
  <si>
    <t>COMUNE DI PONTELATONE</t>
  </si>
  <si>
    <t>Comune di Camigliano</t>
  </si>
  <si>
    <t>COMUNE DI SAVOCA</t>
  </si>
  <si>
    <t>Comune di San Sossio Baronia</t>
  </si>
  <si>
    <t>COMUNE DI CENTRACHE</t>
  </si>
  <si>
    <t>comune di cellara</t>
  </si>
  <si>
    <t>Comune di Burgio</t>
  </si>
  <si>
    <t>comune di cenadi</t>
  </si>
  <si>
    <t>COMUNE DI RACCUJA</t>
  </si>
  <si>
    <t>Comune di Caselle in Pittari</t>
  </si>
  <si>
    <t>COMUNE DI SAN POTITO SANNITICO</t>
  </si>
  <si>
    <t>comune di scido</t>
  </si>
  <si>
    <t>comune di umbriatico</t>
  </si>
  <si>
    <t>Comune di Camerota</t>
  </si>
  <si>
    <t>comune di piedimonte matese</t>
  </si>
  <si>
    <t>COMUNE DI CERCIVENTO</t>
  </si>
  <si>
    <t>COMUNE DI ROGLIANO</t>
  </si>
  <si>
    <t>COMUNE DI SCANDALE</t>
  </si>
  <si>
    <t>COMUNE DI ANDALI</t>
  </si>
  <si>
    <t>COMUNE DI VILLANOVA DEL BATTISTA</t>
  </si>
  <si>
    <t>COMUNE DI MONTAGNAREALE</t>
  </si>
  <si>
    <t>COMUNE DI SALENTO</t>
  </si>
  <si>
    <t>COMUNE DI FORMICOLA</t>
  </si>
  <si>
    <t>COMUNE DI VALVA</t>
  </si>
  <si>
    <t>COMUNE DI LAPIO</t>
  </si>
  <si>
    <t>COMUNE DI SAN POTITO ULTRA</t>
  </si>
  <si>
    <t>comune di Marzano di Nola</t>
  </si>
  <si>
    <t>Comune di Ailano</t>
  </si>
  <si>
    <t>comune di carlantino</t>
  </si>
  <si>
    <t>COMUNE DI SCAMPITELLA</t>
  </si>
  <si>
    <t>COMUNE DI SAVELLI</t>
  </si>
  <si>
    <t>COMUNE DI ROCCAFORTE DEL GRECO</t>
  </si>
  <si>
    <t>COMUNE DI MALVAGNA</t>
  </si>
  <si>
    <t>COMUNE DI SAN SALVATORE DI FITALIA</t>
  </si>
  <si>
    <t>COMUNE DI AMATO</t>
  </si>
  <si>
    <t>COMUNE DI CHAMOIS</t>
  </si>
  <si>
    <t>Comune di Castelsilano</t>
  </si>
  <si>
    <t>COMUNE DI TORGNON</t>
  </si>
  <si>
    <t>COMUNE DI APICE</t>
  </si>
  <si>
    <t>COMUNE DI BUCCIANO</t>
  </si>
  <si>
    <t>COMUNE DI SANT'AGATA DEL BIANCO</t>
  </si>
  <si>
    <t>COMUNE DI CLIVIO</t>
  </si>
  <si>
    <t>Comune di Gesualdo</t>
  </si>
  <si>
    <t>COMUNE DI SANTA PAOLINA</t>
  </si>
  <si>
    <t>comune di conca della campania</t>
  </si>
  <si>
    <t>COMUNE DI SANTA CROCE DEL SANNIO</t>
  </si>
  <si>
    <t>Comune di Roccaromana</t>
  </si>
  <si>
    <t>COMUNE DI SPINETO SCRIVIA</t>
  </si>
  <si>
    <t>comune di stignano</t>
  </si>
  <si>
    <t>Co.Sve.Ga. S.r.l.</t>
  </si>
  <si>
    <t>Comune di Greci</t>
  </si>
  <si>
    <t>Comune di Sant'Arcangelo Trimonte</t>
  </si>
  <si>
    <t>comune di monteverde</t>
  </si>
  <si>
    <t>Comune di Lacedonia</t>
  </si>
  <si>
    <t>COMUNE DI CAMPOLATTARO</t>
  </si>
  <si>
    <t>Comune di Orsara di Puglia</t>
  </si>
  <si>
    <t>comune di giano vetusto</t>
  </si>
  <si>
    <t>COMUNE DI ROCCA SAN FELICE</t>
  </si>
  <si>
    <t>COMUNE DI PADULI</t>
  </si>
  <si>
    <t>Comune di San Nicola Baronia</t>
  </si>
  <si>
    <t>COMUNE DI TERRANOVA DI POLLINO</t>
  </si>
  <si>
    <t>COMUNE DI CASTEL DEL GIUDICE</t>
  </si>
  <si>
    <t>Comune di Luserna</t>
  </si>
  <si>
    <t>COMUNE DI SORBO SERPICO</t>
  </si>
  <si>
    <t>COMUNE DI SANTA MARIA LA FOSSA</t>
  </si>
  <si>
    <t>COMUNE DI RIARDO</t>
  </si>
  <si>
    <t>Comune di Leni</t>
  </si>
  <si>
    <t>COMUNE DI ALBI</t>
  </si>
  <si>
    <t>COMUNE DI BADOLATO</t>
  </si>
  <si>
    <t>Comune di Montaguto</t>
  </si>
  <si>
    <t>Comune di Bonito</t>
  </si>
  <si>
    <t>comune di grazzanise</t>
  </si>
  <si>
    <t>COMUNE SANTA MARIA A VICO</t>
  </si>
  <si>
    <t>COMUNE DI CARVICO</t>
  </si>
  <si>
    <t>Comune di Marzano Appio</t>
  </si>
  <si>
    <t>Comune di Palazzago</t>
  </si>
  <si>
    <t>COMUNE DI FRIGNANO</t>
  </si>
  <si>
    <t>COMUNE DI OSPEDALETTO D'ALPINOLO</t>
  </si>
  <si>
    <t>Comune di Durazzano</t>
  </si>
  <si>
    <t>Comune di Faicchio</t>
  </si>
  <si>
    <t>COMUNE DI ACCADIA</t>
  </si>
  <si>
    <t>comune di colleferro</t>
  </si>
  <si>
    <t>Comune di Valmontone</t>
  </si>
  <si>
    <t>COMUNE DI GEROCARNE</t>
  </si>
  <si>
    <t>COMUNE DI ARPAISE</t>
  </si>
  <si>
    <t>COMUNE DI TUFO</t>
  </si>
  <si>
    <t>COMUNE DI ALBIDONA</t>
  </si>
  <si>
    <t>Comune di Santa Croce di Magliano</t>
  </si>
  <si>
    <t>COMUNE DI FILIGHERA</t>
  </si>
  <si>
    <t>COMUNE DI SAN MARTINO SANNITA</t>
  </si>
  <si>
    <t>Azienda Consortile Acquedotto Vena e Niceto</t>
  </si>
  <si>
    <t>Comune di TORRE DE' NEGRI</t>
  </si>
  <si>
    <t>COMUNE DI POZZILLI</t>
  </si>
  <si>
    <t>cobalb spa</t>
  </si>
  <si>
    <t>COMUNE DI SAN PIETRO AVELLANA</t>
  </si>
  <si>
    <t>COMUNE DI DIAMANTE</t>
  </si>
  <si>
    <t>COMUNE DI ACQUAPPESA</t>
  </si>
  <si>
    <t>Comune di Favignana</t>
  </si>
  <si>
    <t>comune di carolei</t>
  </si>
  <si>
    <t>COMUNE DI SAN LORENZO MAGGIORE</t>
  </si>
  <si>
    <t>COMUNE DI MAIDA</t>
  </si>
  <si>
    <t>COMUNE DI BRIATICO</t>
  </si>
  <si>
    <t>COMUNE DI NOCARA</t>
  </si>
  <si>
    <t>COMUNE DI BELMONTE CALABRO</t>
  </si>
  <si>
    <t>COMUNE DI SAN FLORO</t>
  </si>
  <si>
    <t>COMUNE DI DIPIGNANO</t>
  </si>
  <si>
    <t>COMUNE DI CASTROLIBERO</t>
  </si>
  <si>
    <t>COMUNE DI CARONNO VARESINO</t>
  </si>
  <si>
    <t>Comune di Staiti</t>
  </si>
  <si>
    <t>COMUNE DI MARTONE</t>
  </si>
  <si>
    <t>Comune di Caccuri</t>
  </si>
  <si>
    <t>COMUNE DI CAIAZZO</t>
  </si>
  <si>
    <t>comune di alife</t>
  </si>
  <si>
    <t>COMUNE DI PLATACI</t>
  </si>
  <si>
    <t>Comune di Falciano del Massico</t>
  </si>
  <si>
    <t>COMUNE DI ZAGARISE</t>
  </si>
  <si>
    <t>COMUNE DI CUNARDO</t>
  </si>
  <si>
    <t>COMUNE DI DECOLLATURA</t>
  </si>
  <si>
    <t>COMUNE DI SUMMONTE</t>
  </si>
  <si>
    <t>comune di joppolo</t>
  </si>
  <si>
    <t>COMUNE DI NARDODIPACE</t>
  </si>
  <si>
    <t>COMUNE DI CANTERANO</t>
  </si>
  <si>
    <t>Comune di San Giovanni di Fassa - Sèn Jan</t>
  </si>
  <si>
    <t>COMUNE DI CENTOLA</t>
  </si>
  <si>
    <t>comune di lioni</t>
  </si>
  <si>
    <t>comune di salza irpina</t>
  </si>
  <si>
    <t>comune di alcara li fusi</t>
  </si>
  <si>
    <t>Comune di Trevico</t>
  </si>
  <si>
    <t>COMUNE DI ATENA LUCANA</t>
  </si>
  <si>
    <t>Comune di Frigento</t>
  </si>
  <si>
    <t>Comune di Manocalzati</t>
  </si>
  <si>
    <t>COMUNE DI CADREZZATE CON OSMATE</t>
  </si>
  <si>
    <t>COMUNE DI GARNIGA TERME</t>
  </si>
  <si>
    <t>COMUNE DI TIONE DI TRENTO</t>
  </si>
  <si>
    <t>COMUNE DI TORA E PICCILLI</t>
  </si>
  <si>
    <t>COMUNE DI FORZA D'AGRO'</t>
  </si>
  <si>
    <t>CONSORZIO GESTORI SERVIZI IDRICI S.C.R.L.</t>
  </si>
  <si>
    <t>VILLASERVICE SPA</t>
  </si>
  <si>
    <t>C.I.P.N.E.S. Gallura</t>
  </si>
  <si>
    <t>COMUNE DI REGGELLO</t>
  </si>
  <si>
    <t>COMUNE DI LESINA</t>
  </si>
  <si>
    <t>COMUNE DI SAN NICANDRO GARGANICO</t>
  </si>
  <si>
    <t>COMUNE DI BRINDISI MONTAGNA</t>
  </si>
  <si>
    <t>COMUNE DI LONGARONE</t>
  </si>
  <si>
    <t>COMUNE DI MORINO</t>
  </si>
  <si>
    <t>COMUNE DI TORRE DE' BUSI</t>
  </si>
  <si>
    <t>COMUNE DI BELVEDERE DI SPINELLO</t>
  </si>
  <si>
    <t>Comune di Solza</t>
  </si>
  <si>
    <t>COMUNE DI TORREMAGGIORE</t>
  </si>
  <si>
    <t>Comune di Marebbe</t>
  </si>
  <si>
    <t>COMUNE DI BORGO D'ANAUNIA</t>
  </si>
  <si>
    <t>COMUNE DI BRIENNO</t>
  </si>
  <si>
    <t>SOCIETA' ACQUE POTABILI DI COSSILA - S.R.L.</t>
  </si>
  <si>
    <t>ACQUE PUBBLICHE SAVONESI S.C.P.A.</t>
  </si>
  <si>
    <t>Comune di Novella</t>
  </si>
  <si>
    <t>COMUNE DI MANDATORICCIO</t>
  </si>
  <si>
    <t>COMUNE DI SALAPARUTA</t>
  </si>
  <si>
    <t>COMUNE DI CASARANO</t>
  </si>
  <si>
    <t>COMUNE DI VILLE DI FIEMME</t>
  </si>
  <si>
    <t>comune di Marcianise</t>
  </si>
  <si>
    <t>COMUNE DI CIS</t>
  </si>
  <si>
    <t>COMUNE DI BRESIMO</t>
  </si>
  <si>
    <t>comune di fragneto monforte</t>
  </si>
  <si>
    <t>COMUNE DI MINEO</t>
  </si>
  <si>
    <t>COMUNE DI NOCERA TERINESE</t>
  </si>
  <si>
    <t>COMUNE DI SIRIGNANO</t>
  </si>
  <si>
    <t>Comune di Sant'Antimo</t>
  </si>
  <si>
    <t>COMUNE DI FRANCOFONTE</t>
  </si>
  <si>
    <t>COMUNE DI PRATELLA</t>
  </si>
  <si>
    <t>Comune di Montefredane</t>
  </si>
  <si>
    <t>Comune di Sparanise</t>
  </si>
  <si>
    <t>COMUNE DI FANO ADRIANO</t>
  </si>
  <si>
    <t>Comune di Pratola Serra</t>
  </si>
  <si>
    <t>COMUNE DI BREMBATE</t>
  </si>
  <si>
    <t>GIBILROSSA ACQUE</t>
  </si>
  <si>
    <t>VALDERA ACQUE SRL</t>
  </si>
  <si>
    <t>Geomar di Musumeci Maria Pia</t>
  </si>
  <si>
    <t>COMUNE DI NICOTERA</t>
  </si>
  <si>
    <t>COMUNE DI SAN MANGO D'AQUINO</t>
  </si>
  <si>
    <t>COMUNE DI CASALUCE</t>
  </si>
  <si>
    <t>Comune di Sant'Eufemia d'Aspromonte</t>
  </si>
  <si>
    <t>ACQUE LO CASTRO SRL</t>
  </si>
  <si>
    <t>COMUNE DI VALDERICE</t>
  </si>
  <si>
    <t>CONSORZIO ZONA INDUSTRIALE DI INTERESSE REGIONALE DI CHILIVANI</t>
  </si>
  <si>
    <t>Consorzio di Bonifica n. 8 Ragusa mandatario senza rappresentanza del Consorzio di Bonifica della Sicilia Orientale</t>
  </si>
  <si>
    <t>Kratos s.c.a.r.l.</t>
  </si>
  <si>
    <t>Associazione Temporanea di Scopo "Maguli"</t>
  </si>
  <si>
    <t>COMUNE DI VAL REZZO</t>
  </si>
  <si>
    <t>RAM S.R.L.</t>
  </si>
  <si>
    <t>AM+ SPA</t>
  </si>
  <si>
    <t>A.I.C.A. - AZIENDA IDRICA COMUNI AGRIGENTINI</t>
  </si>
  <si>
    <t>COMUNE CAMPIONE D'ITALIA</t>
  </si>
  <si>
    <t>Consorzio Acquedotto del Medio Tirreno in liquidazione</t>
  </si>
  <si>
    <t>Funivia Plan de Corones</t>
  </si>
  <si>
    <t>BLUE SRLS</t>
  </si>
  <si>
    <t>Comune di Limina</t>
  </si>
  <si>
    <t>ALFA UNO DI MODAFFERI ANTONIA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</si>
</sst>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&quot;€&quot;\ * #,##0.00_-;\-&quot;€&quot;\ * #,##0.00_-;_-&quot;€&quot;\ * &quot;-&quot;??_-;_-@_-"/>
    <numFmt numFmtId="167" formatCode="_-[$€-2]\ * #,##0.00_-;\-[$€-2]\ * #,##0.00_-;_-[$€-2]\ * &quot;-&quot;??_-"/>
    <numFmt numFmtId="168" formatCode="#,##0;\-\ #,##0;\-"/>
    <numFmt numFmtId="169" formatCode="#,##0_ ;\-#,##0\ "/>
    <numFmt numFmtId="170" formatCode="0.000"/>
    <numFmt numFmtId="171" formatCode="_(&quot;$&quot;* #,##0_);_(&quot;$&quot;* \(#,##0\);_(&quot;$&quot;* &quot;-&quot;_);_(@_)"/>
    <numFmt numFmtId="172" formatCode="0.0%"/>
    <numFmt numFmtId="173" formatCode="0.000%"/>
    <numFmt numFmtId="174" formatCode="0.0000%"/>
  </numFmts>
  <fonts count="97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</font>
    <font>
      <sz val="11"/>
      <name val="Calibri"/>
      <family val="2"/>
    </font>
    <font>
      <sz val="10"/>
      <name val="Arial"/>
      <family val="2"/>
    </font>
    <font>
      <u/>
      <sz val="10"/>
      <color indexed="36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b/>
      <sz val="8"/>
      <name val="Calibri"/>
      <family val="2"/>
    </font>
    <font>
      <sz val="8"/>
      <color indexed="8"/>
      <name val="Arial"/>
      <family val="2"/>
    </font>
    <font>
      <sz val="11"/>
      <color rgb="FFFF0000"/>
      <name val="Calibri"/>
      <family val="2"/>
      <scheme val="minor"/>
    </font>
    <font>
      <b/>
      <sz val="10"/>
      <name val="MS Sans Serif"/>
      <family val="2"/>
    </font>
    <font>
      <sz val="10"/>
      <name val="MS Sans Serif"/>
      <family val="2"/>
    </font>
    <font>
      <b/>
      <sz val="10"/>
      <name val="Helv"/>
    </font>
    <font>
      <sz val="10"/>
      <name val="Times New Roman"/>
      <family val="1"/>
    </font>
    <font>
      <b/>
      <sz val="8"/>
      <name val="Helv"/>
    </font>
    <font>
      <sz val="10"/>
      <name val="Arial Narrow"/>
      <family val="2"/>
    </font>
    <font>
      <i/>
      <sz val="11"/>
      <color rgb="FFFF0000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vertAlign val="subscript"/>
      <sz val="11"/>
      <color rgb="FF000000"/>
      <name val="Calibri"/>
      <family val="2"/>
      <scheme val="minor"/>
    </font>
    <font>
      <b/>
      <sz val="10"/>
      <name val="Calibri"/>
      <family val="2"/>
      <scheme val="minor"/>
    </font>
    <font>
      <vertAlign val="subscript"/>
      <sz val="11"/>
      <name val="Calibri"/>
      <family val="2"/>
      <scheme val="minor"/>
    </font>
    <font>
      <sz val="11"/>
      <color theme="0" tint="-0.249977111117893"/>
      <name val="Calibri"/>
      <family val="2"/>
      <charset val="1"/>
    </font>
    <font>
      <sz val="10"/>
      <color rgb="FFFF0000"/>
      <name val="Arial"/>
      <family val="2"/>
    </font>
    <font>
      <b/>
      <sz val="13"/>
      <color theme="3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i/>
      <vertAlign val="subscript"/>
      <sz val="11"/>
      <color indexed="8"/>
      <name val="Calibri"/>
      <family val="2"/>
      <scheme val="minor"/>
    </font>
    <font>
      <vertAlign val="subscript"/>
      <sz val="11"/>
      <color indexed="8"/>
      <name val="Calibri"/>
      <family val="2"/>
      <scheme val="minor"/>
    </font>
    <font>
      <sz val="11"/>
      <color theme="1"/>
      <name val="Calibri"/>
      <family val="2"/>
    </font>
    <font>
      <vertAlign val="subscript"/>
      <sz val="10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vertAlign val="subscript"/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strike/>
      <sz val="10"/>
      <name val="Calibri"/>
      <family val="2"/>
      <scheme val="minor"/>
    </font>
    <font>
      <b/>
      <vertAlign val="subscript"/>
      <sz val="11"/>
      <color rgb="FF000000"/>
      <name val="Calibri"/>
      <family val="2"/>
    </font>
    <font>
      <sz val="11"/>
      <color theme="0" tint="-4.9989318521683403E-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charset val="1"/>
    </font>
    <font>
      <i/>
      <vertAlign val="subscript"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0"/>
      <name val="Arial Narrow"/>
      <family val="2"/>
    </font>
    <font>
      <sz val="10"/>
      <color rgb="FF9C6500"/>
      <name val="Arial Narrow"/>
      <family val="2"/>
    </font>
    <font>
      <b/>
      <sz val="10"/>
      <color rgb="FF3F3F3F"/>
      <name val="Arial Narrow"/>
      <family val="2"/>
    </font>
    <font>
      <b/>
      <vertAlign val="subscript"/>
      <sz val="11"/>
      <name val="Calibri"/>
      <family val="2"/>
      <scheme val="minor"/>
    </font>
    <font>
      <i/>
      <sz val="11"/>
      <color rgb="FFFF0000"/>
      <name val="Arial Narrow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i/>
      <sz val="9"/>
      <name val="Calibri"/>
      <family val="2"/>
    </font>
    <font>
      <b/>
      <i/>
      <sz val="9"/>
      <name val="Calibri"/>
      <family val="2"/>
    </font>
    <font>
      <i/>
      <sz val="9"/>
      <color indexed="9"/>
      <name val="Calibri"/>
      <family val="2"/>
    </font>
    <font>
      <i/>
      <sz val="11"/>
      <color indexed="8"/>
      <name val="Calibri"/>
      <family val="2"/>
    </font>
    <font>
      <b/>
      <sz val="14"/>
      <color indexed="56"/>
      <name val="Calibri"/>
      <family val="2"/>
    </font>
    <font>
      <b/>
      <u/>
      <sz val="18"/>
      <color indexed="56"/>
      <name val="Calibri"/>
      <family val="2"/>
    </font>
    <font>
      <b/>
      <sz val="12"/>
      <color theme="3"/>
      <name val="Calibri"/>
      <family val="2"/>
      <scheme val="minor"/>
    </font>
    <font>
      <sz val="11"/>
      <color theme="3"/>
      <name val="Calibri"/>
      <family val="2"/>
      <scheme val="minor"/>
    </font>
    <font>
      <vertAlign val="subscript"/>
      <sz val="11"/>
      <color theme="3"/>
      <name val="Calibri"/>
      <family val="2"/>
      <scheme val="minor"/>
    </font>
    <font>
      <u/>
      <sz val="10"/>
      <name val="Calibri"/>
      <family val="2"/>
      <scheme val="minor"/>
    </font>
    <font>
      <sz val="9"/>
      <color rgb="FFE26B0A"/>
      <name val="Calibri"/>
      <family val="2"/>
      <scheme val="minor"/>
    </font>
    <font>
      <sz val="11"/>
      <color rgb="FFE26B0A"/>
      <name val="Calibri"/>
      <family val="2"/>
      <scheme val="minor"/>
    </font>
    <font>
      <b/>
      <sz val="11"/>
      <color rgb="FFE26B0A"/>
      <name val="Calibri"/>
      <family val="2"/>
      <scheme val="minor"/>
    </font>
    <font>
      <b/>
      <i/>
      <sz val="11"/>
      <color rgb="FFE26B0A"/>
      <name val="Calibri"/>
      <family val="2"/>
      <scheme val="minor"/>
    </font>
    <font>
      <sz val="10"/>
      <color rgb="FFE26B0A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sz val="10"/>
      <color indexed="64"/>
      <name val="Arial"/>
      <family val="2"/>
    </font>
    <font>
      <b/>
      <sz val="10"/>
      <color indexed="64"/>
      <name val="Arial"/>
      <family val="2"/>
    </font>
    <font>
      <b/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9"/>
      <color indexed="81"/>
      <name val="Tahoma"/>
      <family val="2"/>
    </font>
    <font>
      <sz val="12"/>
      <color theme="3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color indexed="81"/>
      <name val="Calibri"/>
      <family val="2"/>
    </font>
    <font>
      <sz val="10"/>
      <color indexed="81"/>
      <name val="Calibri"/>
      <family val="2"/>
      <scheme val="minor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strike/>
      <sz val="11"/>
      <color theme="3"/>
      <name val="Calibri"/>
      <family val="2"/>
      <scheme val="minor"/>
    </font>
    <font>
      <i/>
      <sz val="11"/>
      <color theme="3"/>
      <name val="Calibri"/>
      <family val="2"/>
      <scheme val="minor"/>
    </font>
    <font>
      <b/>
      <vertAlign val="subscript"/>
      <sz val="11"/>
      <color theme="3"/>
      <name val="Calibri"/>
      <family val="2"/>
      <scheme val="minor"/>
    </font>
    <font>
      <sz val="10"/>
      <name val="Calibri"/>
      <family val="2"/>
    </font>
    <font>
      <b/>
      <u/>
      <sz val="10"/>
      <color indexed="81"/>
      <name val="Calibri"/>
      <family val="2"/>
    </font>
    <font>
      <b/>
      <sz val="10"/>
      <color theme="0"/>
      <name val="Arial"/>
      <family val="2"/>
    </font>
    <font>
      <b/>
      <sz val="9"/>
      <color indexed="81"/>
      <name val="Tahoma"/>
      <family val="2"/>
    </font>
  </fonts>
  <fills count="2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lightUp">
        <bgColor theme="0" tint="-4.9989318521683403E-2"/>
      </patternFill>
    </fill>
    <fill>
      <patternFill patternType="solid">
        <fgColor rgb="FFFFFFCC"/>
        <bgColor rgb="FFFFFFCC"/>
      </patternFill>
    </fill>
    <fill>
      <patternFill patternType="solid">
        <fgColor rgb="FFD9D9D9"/>
        <bgColor indexed="64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6"/>
      </patternFill>
    </fill>
    <fill>
      <patternFill patternType="solid">
        <fgColor theme="2"/>
        <bgColor indexed="64"/>
      </patternFill>
    </fill>
    <fill>
      <patternFill patternType="lightUp">
        <bgColor theme="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lightUp">
        <fgColor theme="0" tint="-0.24994659260841701"/>
        <bgColor indexed="65"/>
      </patternFill>
    </fill>
    <fill>
      <patternFill patternType="lightUp">
        <fgColor theme="0" tint="-0.24994659260841701"/>
        <bgColor auto="1"/>
      </patternFill>
    </fill>
    <fill>
      <patternFill patternType="lightUp">
        <fgColor theme="0" tint="-0.24994659260841701"/>
        <bgColor theme="0"/>
      </patternFill>
    </fill>
    <fill>
      <patternFill patternType="solid">
        <fgColor theme="8" tint="-0.249977111117893"/>
        <bgColor indexed="64"/>
      </patternFill>
    </fill>
    <fill>
      <patternFill patternType="lightUp"/>
    </fill>
    <fill>
      <patternFill patternType="lightUp">
        <bgColor theme="0" tint="-0.14999847407452621"/>
      </patternFill>
    </fill>
    <fill>
      <patternFill patternType="solid">
        <fgColor rgb="FFFFFF00"/>
        <bgColor indexed="64"/>
      </patternFill>
    </fill>
  </fills>
  <borders count="8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indexed="56"/>
      </left>
      <right style="thin">
        <color indexed="64"/>
      </right>
      <top style="thin">
        <color indexed="64"/>
      </top>
      <bottom style="dotted">
        <color indexed="56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56"/>
      </left>
      <right style="thin">
        <color indexed="64"/>
      </right>
      <top style="thin">
        <color indexed="64"/>
      </top>
      <bottom style="dotted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56"/>
      </left>
      <right style="thin">
        <color indexed="64"/>
      </right>
      <top style="thin">
        <color indexed="64"/>
      </top>
      <bottom style="dotted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double">
        <color indexed="21"/>
      </left>
      <right/>
      <top style="double">
        <color indexed="21"/>
      </top>
      <bottom style="hair">
        <color indexed="64"/>
      </bottom>
      <diagonal/>
    </border>
    <border>
      <left/>
      <right/>
      <top style="double">
        <color indexed="21"/>
      </top>
      <bottom style="hair">
        <color indexed="64"/>
      </bottom>
      <diagonal/>
    </border>
    <border>
      <left/>
      <right style="double">
        <color indexed="21"/>
      </right>
      <top style="double">
        <color indexed="21"/>
      </top>
      <bottom style="hair">
        <color indexed="64"/>
      </bottom>
      <diagonal/>
    </border>
    <border>
      <left style="double">
        <color indexed="21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21"/>
      </right>
      <top style="hair">
        <color indexed="64"/>
      </top>
      <bottom style="hair">
        <color indexed="64"/>
      </bottom>
      <diagonal/>
    </border>
    <border>
      <left style="double">
        <color indexed="21"/>
      </left>
      <right/>
      <top style="hair">
        <color indexed="64"/>
      </top>
      <bottom style="double">
        <color indexed="21"/>
      </bottom>
      <diagonal/>
    </border>
    <border>
      <left/>
      <right/>
      <top style="hair">
        <color indexed="64"/>
      </top>
      <bottom style="double">
        <color indexed="21"/>
      </bottom>
      <diagonal/>
    </border>
    <border>
      <left/>
      <right style="double">
        <color indexed="21"/>
      </right>
      <top style="hair">
        <color indexed="64"/>
      </top>
      <bottom style="double">
        <color indexed="2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21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21"/>
      </right>
      <top style="hair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21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21"/>
      </left>
      <right/>
      <top style="double">
        <color indexed="21"/>
      </top>
      <bottom style="double">
        <color indexed="21"/>
      </bottom>
      <diagonal/>
    </border>
    <border>
      <left/>
      <right/>
      <top style="double">
        <color indexed="21"/>
      </top>
      <bottom style="double">
        <color indexed="21"/>
      </bottom>
      <diagonal/>
    </border>
    <border>
      <left/>
      <right style="double">
        <color indexed="21"/>
      </right>
      <top style="double">
        <color indexed="21"/>
      </top>
      <bottom style="double">
        <color indexed="21"/>
      </bottom>
      <diagonal/>
    </border>
    <border>
      <left style="double">
        <color indexed="21"/>
      </left>
      <right style="double">
        <color indexed="21"/>
      </right>
      <top style="double">
        <color indexed="21"/>
      </top>
      <bottom style="double">
        <color indexed="21"/>
      </bottom>
      <diagonal/>
    </border>
    <border>
      <left style="double">
        <color indexed="21"/>
      </left>
      <right style="double">
        <color indexed="21"/>
      </right>
      <top style="double">
        <color indexed="21"/>
      </top>
      <bottom/>
      <diagonal/>
    </border>
    <border>
      <left style="double">
        <color indexed="21"/>
      </left>
      <right style="double">
        <color indexed="21"/>
      </right>
      <top/>
      <bottom/>
      <diagonal/>
    </border>
    <border>
      <left style="double">
        <color indexed="21"/>
      </left>
      <right style="double">
        <color indexed="21"/>
      </right>
      <top/>
      <bottom style="double">
        <color indexed="2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0">
    <xf numFmtId="0" fontId="0" fillId="0" borderId="0"/>
    <xf numFmtId="167" fontId="7" fillId="0" borderId="0" applyFont="0" applyFill="0" applyBorder="0" applyAlignment="0" applyProtection="0"/>
    <xf numFmtId="167" fontId="8" fillId="0" borderId="0" applyNumberFormat="0" applyFill="0" applyBorder="0" applyAlignment="0" applyProtection="0">
      <alignment vertical="top"/>
      <protection locked="0"/>
    </xf>
    <xf numFmtId="167" fontId="9" fillId="0" borderId="0" applyNumberFormat="0" applyFill="0" applyBorder="0" applyAlignment="0" applyProtection="0">
      <alignment vertical="top"/>
      <protection locked="0"/>
    </xf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4" fillId="0" borderId="0"/>
    <xf numFmtId="167" fontId="10" fillId="0" borderId="0"/>
    <xf numFmtId="167" fontId="10" fillId="0" borderId="0"/>
    <xf numFmtId="167" fontId="4" fillId="0" borderId="0"/>
    <xf numFmtId="9" fontId="7" fillId="0" borderId="0" applyFont="0" applyFill="0" applyBorder="0" applyAlignment="0" applyProtection="0"/>
    <xf numFmtId="168" fontId="5" fillId="3" borderId="3" applyFont="0" applyFill="0" applyBorder="0" applyAlignment="0" applyProtection="0">
      <alignment horizontal="right" vertical="center"/>
      <protection locked="0"/>
    </xf>
    <xf numFmtId="10" fontId="12" fillId="3" borderId="1" applyFont="0" applyFill="0" applyBorder="0" applyAlignment="0" applyProtection="0">
      <alignment horizontal="center" vertical="center"/>
      <protection locked="0"/>
    </xf>
    <xf numFmtId="9" fontId="6" fillId="0" borderId="0" applyFont="0" applyFill="0" applyBorder="0" applyAlignment="0" applyProtection="0"/>
    <xf numFmtId="167" fontId="15" fillId="0" borderId="0" applyNumberFormat="0" applyFill="0" applyBorder="0" applyAlignment="0" applyProtection="0"/>
    <xf numFmtId="15" fontId="16" fillId="0" borderId="0"/>
    <xf numFmtId="167" fontId="7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" fontId="17" fillId="0" borderId="5"/>
    <xf numFmtId="167" fontId="18" fillId="0" borderId="0"/>
    <xf numFmtId="167" fontId="4" fillId="0" borderId="0"/>
    <xf numFmtId="167" fontId="10" fillId="0" borderId="0"/>
    <xf numFmtId="167" fontId="10" fillId="5" borderId="6" applyNumberFormat="0" applyFont="0" applyAlignment="0" applyProtection="0"/>
    <xf numFmtId="3" fontId="19" fillId="0" borderId="0" applyFont="0" applyFill="0" applyBorder="0" applyAlignment="0" applyProtection="0"/>
    <xf numFmtId="167" fontId="15" fillId="0" borderId="0" applyNumberFormat="0" applyFill="0" applyBorder="0" applyAlignment="0" applyProtection="0"/>
    <xf numFmtId="171" fontId="13" fillId="0" borderId="0" applyFont="0" applyFill="0" applyBorder="0" applyAlignment="0" applyProtection="0"/>
    <xf numFmtId="167" fontId="6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7" fontId="7" fillId="0" borderId="0"/>
    <xf numFmtId="168" fontId="5" fillId="3" borderId="7" applyFont="0" applyFill="0" applyBorder="0" applyAlignment="0" applyProtection="0">
      <alignment horizontal="right" vertical="center"/>
      <protection locked="0"/>
    </xf>
    <xf numFmtId="10" fontId="12" fillId="3" borderId="8" applyFont="0" applyFill="0" applyBorder="0" applyAlignment="0" applyProtection="0">
      <alignment horizontal="center" vertical="center"/>
      <protection locked="0"/>
    </xf>
    <xf numFmtId="167" fontId="10" fillId="5" borderId="9" applyNumberFormat="0" applyFont="0" applyAlignment="0" applyProtection="0"/>
    <xf numFmtId="0" fontId="22" fillId="0" borderId="0"/>
    <xf numFmtId="0" fontId="10" fillId="0" borderId="0"/>
    <xf numFmtId="0" fontId="22" fillId="0" borderId="0"/>
    <xf numFmtId="43" fontId="10" fillId="0" borderId="0" applyFont="0" applyFill="0" applyBorder="0" applyAlignment="0" applyProtection="0"/>
    <xf numFmtId="0" fontId="10" fillId="0" borderId="0"/>
    <xf numFmtId="166" fontId="7" fillId="0" borderId="0" applyFont="0" applyFill="0" applyBorder="0" applyAlignment="0" applyProtection="0"/>
    <xf numFmtId="166" fontId="4" fillId="0" borderId="0" applyFont="0" applyFill="0" applyBorder="0" applyAlignment="0" applyProtection="0"/>
    <xf numFmtId="10" fontId="12" fillId="3" borderId="10" applyFont="0" applyFill="0" applyBorder="0" applyAlignment="0" applyProtection="0">
      <alignment horizontal="center" vertical="center"/>
      <protection locked="0"/>
    </xf>
    <xf numFmtId="167" fontId="9" fillId="0" borderId="0" applyNumberFormat="0" applyFill="0" applyBorder="0" applyAlignment="0" applyProtection="0">
      <alignment vertical="top"/>
      <protection locked="0"/>
    </xf>
    <xf numFmtId="4" fontId="17" fillId="0" borderId="11"/>
    <xf numFmtId="167" fontId="10" fillId="5" borderId="30" applyNumberFormat="0" applyFont="0" applyAlignment="0" applyProtection="0"/>
    <xf numFmtId="168" fontId="5" fillId="3" borderId="32" applyFont="0" applyFill="0" applyBorder="0" applyAlignment="0" applyProtection="0">
      <alignment horizontal="right" vertical="center"/>
      <protection locked="0"/>
    </xf>
    <xf numFmtId="10" fontId="12" fillId="3" borderId="31" applyFont="0" applyFill="0" applyBorder="0" applyAlignment="0" applyProtection="0">
      <alignment horizontal="center" vertical="center"/>
      <protection locked="0"/>
    </xf>
    <xf numFmtId="167" fontId="10" fillId="5" borderId="30" applyNumberFormat="0" applyFont="0" applyAlignment="0" applyProtection="0"/>
    <xf numFmtId="166" fontId="4" fillId="0" borderId="0" applyFont="0" applyFill="0" applyBorder="0" applyAlignment="0" applyProtection="0"/>
    <xf numFmtId="0" fontId="56" fillId="14" borderId="0" applyNumberFormat="0" applyBorder="0" applyAlignment="0" applyProtection="0"/>
    <xf numFmtId="0" fontId="57" fillId="15" borderId="28" applyNumberFormat="0" applyAlignment="0" applyProtection="0"/>
    <xf numFmtId="0" fontId="55" fillId="16" borderId="0" applyNumberFormat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7" fontId="10" fillId="5" borderId="33" applyNumberFormat="0" applyFont="0" applyAlignment="0" applyProtection="0"/>
    <xf numFmtId="165" fontId="4" fillId="0" borderId="0" applyFont="0" applyFill="0" applyBorder="0" applyAlignment="0" applyProtection="0"/>
    <xf numFmtId="167" fontId="10" fillId="5" borderId="34" applyNumberFormat="0" applyFont="0" applyAlignment="0" applyProtection="0"/>
    <xf numFmtId="165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4" fillId="0" borderId="0" applyFont="0" applyFill="0" applyBorder="0" applyAlignment="0" applyProtection="0"/>
    <xf numFmtId="10" fontId="12" fillId="3" borderId="35" applyFont="0" applyFill="0" applyBorder="0" applyAlignment="0" applyProtection="0">
      <alignment horizontal="center" vertical="center"/>
      <protection locked="0"/>
    </xf>
    <xf numFmtId="167" fontId="10" fillId="5" borderId="36" applyNumberFormat="0" applyFont="0" applyAlignment="0" applyProtection="0"/>
    <xf numFmtId="10" fontId="12" fillId="3" borderId="35" applyFont="0" applyFill="0" applyBorder="0" applyAlignment="0" applyProtection="0">
      <alignment horizontal="center" vertical="center"/>
      <protection locked="0"/>
    </xf>
    <xf numFmtId="166" fontId="4" fillId="0" borderId="0" applyFont="0" applyFill="0" applyBorder="0" applyAlignment="0" applyProtection="0"/>
    <xf numFmtId="0" fontId="78" fillId="0" borderId="0"/>
  </cellStyleXfs>
  <cellXfs count="681">
    <xf numFmtId="0" fontId="0" fillId="0" borderId="0" xfId="0"/>
    <xf numFmtId="169" fontId="23" fillId="9" borderId="16" xfId="30" applyNumberFormat="1" applyFont="1" applyFill="1" applyBorder="1" applyAlignment="1" applyProtection="1">
      <alignment horizontal="right" vertical="center" wrapText="1"/>
      <protection locked="0"/>
    </xf>
    <xf numFmtId="49" fontId="11" fillId="9" borderId="12" xfId="36" applyNumberFormat="1" applyFont="1" applyFill="1" applyBorder="1" applyAlignment="1" applyProtection="1">
      <alignment horizontal="right" vertical="center" wrapText="1"/>
      <protection locked="0"/>
    </xf>
    <xf numFmtId="3" fontId="11" fillId="9" borderId="16" xfId="37" applyNumberFormat="1" applyFont="1" applyFill="1" applyBorder="1" applyAlignment="1" applyProtection="1">
      <alignment vertical="center" wrapText="1"/>
      <protection locked="0"/>
    </xf>
    <xf numFmtId="49" fontId="11" fillId="9" borderId="16" xfId="36" applyNumberFormat="1" applyFont="1" applyFill="1" applyBorder="1" applyAlignment="1" applyProtection="1">
      <alignment horizontal="right" vertical="center" wrapText="1"/>
      <protection locked="0"/>
    </xf>
    <xf numFmtId="0" fontId="27" fillId="0" borderId="23" xfId="37" applyFont="1" applyBorder="1" applyAlignment="1">
      <alignment horizontal="center" vertical="center" wrapText="1"/>
    </xf>
    <xf numFmtId="0" fontId="31" fillId="0" borderId="22" xfId="37" applyFont="1" applyBorder="1" applyAlignment="1">
      <alignment horizontal="center" vertical="center" wrapText="1"/>
    </xf>
    <xf numFmtId="3" fontId="23" fillId="12" borderId="16" xfId="30" applyNumberFormat="1" applyFont="1" applyFill="1" applyBorder="1" applyAlignment="1" applyProtection="1">
      <alignment horizontal="right" vertical="center" wrapText="1"/>
      <protection locked="0"/>
    </xf>
    <xf numFmtId="169" fontId="23" fillId="9" borderId="12" xfId="30" applyNumberFormat="1" applyFont="1" applyFill="1" applyBorder="1" applyAlignment="1" applyProtection="1">
      <alignment horizontal="right" vertical="center" wrapText="1"/>
      <protection locked="0"/>
    </xf>
    <xf numFmtId="4" fontId="23" fillId="9" borderId="12" xfId="30" applyNumberFormat="1" applyFont="1" applyFill="1" applyBorder="1" applyAlignment="1" applyProtection="1">
      <alignment horizontal="right" vertical="center" wrapText="1"/>
      <protection locked="0"/>
    </xf>
    <xf numFmtId="0" fontId="27" fillId="0" borderId="38" xfId="37" applyFont="1" applyBorder="1" applyAlignment="1">
      <alignment horizontal="center" vertical="center" wrapText="1"/>
    </xf>
    <xf numFmtId="3" fontId="11" fillId="7" borderId="16" xfId="37" applyNumberFormat="1" applyFont="1" applyFill="1" applyBorder="1" applyAlignment="1">
      <alignment horizontal="right" vertical="center" wrapText="1"/>
    </xf>
    <xf numFmtId="3" fontId="11" fillId="9" borderId="16" xfId="37" applyNumberFormat="1" applyFont="1" applyFill="1" applyBorder="1" applyAlignment="1" applyProtection="1">
      <alignment horizontal="right" vertical="center" wrapText="1"/>
      <protection locked="0"/>
    </xf>
    <xf numFmtId="0" fontId="21" fillId="0" borderId="0" xfId="0" applyFont="1"/>
    <xf numFmtId="0" fontId="59" fillId="0" borderId="0" xfId="0" applyFont="1" applyAlignment="1">
      <alignment horizontal="center"/>
    </xf>
    <xf numFmtId="0" fontId="10" fillId="0" borderId="0" xfId="0" applyFont="1"/>
    <xf numFmtId="0" fontId="60" fillId="7" borderId="39" xfId="0" applyFont="1" applyFill="1" applyBorder="1" applyAlignment="1">
      <alignment horizontal="left" vertical="center" wrapText="1"/>
    </xf>
    <xf numFmtId="0" fontId="61" fillId="9" borderId="39" xfId="0" applyFont="1" applyFill="1" applyBorder="1" applyAlignment="1" applyProtection="1">
      <alignment horizontal="center" vertical="center"/>
      <protection locked="0"/>
    </xf>
    <xf numFmtId="0" fontId="60" fillId="0" borderId="0" xfId="0" applyFont="1" applyAlignment="1">
      <alignment horizontal="left" vertical="center"/>
    </xf>
    <xf numFmtId="0" fontId="10" fillId="0" borderId="0" xfId="0" applyFont="1" applyAlignment="1">
      <alignment vertical="top"/>
    </xf>
    <xf numFmtId="0" fontId="62" fillId="0" borderId="39" xfId="0" applyFont="1" applyBorder="1" applyAlignment="1">
      <alignment vertical="center" wrapText="1"/>
    </xf>
    <xf numFmtId="0" fontId="63" fillId="0" borderId="39" xfId="0" applyFont="1" applyBorder="1" applyAlignment="1">
      <alignment horizontal="center" vertical="center" wrapText="1"/>
    </xf>
    <xf numFmtId="0" fontId="64" fillId="0" borderId="0" xfId="0" applyFont="1" applyAlignment="1">
      <alignment vertical="center"/>
    </xf>
    <xf numFmtId="0" fontId="65" fillId="0" borderId="40" xfId="0" applyFont="1" applyBorder="1"/>
    <xf numFmtId="0" fontId="10" fillId="0" borderId="0" xfId="0" applyFont="1" applyAlignment="1">
      <alignment horizontal="center"/>
    </xf>
    <xf numFmtId="0" fontId="66" fillId="0" borderId="0" xfId="0" applyFont="1" applyAlignment="1">
      <alignment horizontal="left"/>
    </xf>
    <xf numFmtId="3" fontId="11" fillId="9" borderId="54" xfId="37" applyNumberFormat="1" applyFont="1" applyFill="1" applyBorder="1" applyAlignment="1" applyProtection="1">
      <alignment vertical="center" wrapText="1"/>
      <protection locked="0"/>
    </xf>
    <xf numFmtId="0" fontId="26" fillId="7" borderId="44" xfId="37" applyFont="1" applyFill="1" applyBorder="1" applyAlignment="1">
      <alignment horizontal="right" vertical="center" wrapText="1"/>
    </xf>
    <xf numFmtId="0" fontId="0" fillId="4" borderId="0" xfId="0" applyFill="1"/>
    <xf numFmtId="0" fontId="68" fillId="4" borderId="0" xfId="0" applyFont="1" applyFill="1" applyAlignment="1">
      <alignment horizontal="left" vertical="center" wrapText="1"/>
    </xf>
    <xf numFmtId="0" fontId="34" fillId="0" borderId="0" xfId="37" applyFont="1" applyAlignment="1">
      <alignment vertical="center"/>
    </xf>
    <xf numFmtId="0" fontId="0" fillId="0" borderId="0" xfId="0" applyAlignment="1">
      <alignment horizontal="center" vertical="center"/>
    </xf>
    <xf numFmtId="0" fontId="24" fillId="10" borderId="19" xfId="37" applyFont="1" applyFill="1" applyBorder="1" applyAlignment="1">
      <alignment horizontal="center" vertical="center" wrapText="1"/>
    </xf>
    <xf numFmtId="0" fontId="24" fillId="10" borderId="20" xfId="37" applyFont="1" applyFill="1" applyBorder="1" applyAlignment="1">
      <alignment horizontal="center" vertical="center" wrapText="1"/>
    </xf>
    <xf numFmtId="0" fontId="24" fillId="10" borderId="21" xfId="37" applyFont="1" applyFill="1" applyBorder="1" applyAlignment="1">
      <alignment horizontal="center" vertical="center" wrapText="1"/>
    </xf>
    <xf numFmtId="0" fontId="24" fillId="8" borderId="19" xfId="37" applyFont="1" applyFill="1" applyBorder="1" applyAlignment="1">
      <alignment horizontal="center" vertical="center" wrapText="1"/>
    </xf>
    <xf numFmtId="0" fontId="24" fillId="10" borderId="18" xfId="37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0" fontId="25" fillId="2" borderId="4" xfId="37" applyFont="1" applyFill="1" applyBorder="1" applyAlignment="1">
      <alignment vertical="center" wrapText="1"/>
    </xf>
    <xf numFmtId="0" fontId="11" fillId="2" borderId="13" xfId="37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 vertical="center"/>
    </xf>
    <xf numFmtId="0" fontId="2" fillId="4" borderId="0" xfId="0" applyFont="1" applyFill="1"/>
    <xf numFmtId="0" fontId="2" fillId="4" borderId="0" xfId="0" applyFont="1" applyFill="1" applyAlignment="1">
      <alignment vertical="center"/>
    </xf>
    <xf numFmtId="0" fontId="73" fillId="4" borderId="0" xfId="0" applyFont="1" applyFill="1" applyAlignment="1">
      <alignment horizontal="center" vertical="center"/>
    </xf>
    <xf numFmtId="0" fontId="2" fillId="0" borderId="0" xfId="0" applyFont="1"/>
    <xf numFmtId="0" fontId="35" fillId="4" borderId="0" xfId="0" applyFont="1" applyFill="1" applyAlignment="1">
      <alignment vertical="center"/>
    </xf>
    <xf numFmtId="0" fontId="11" fillId="2" borderId="16" xfId="37" applyFont="1" applyFill="1" applyBorder="1" applyAlignment="1">
      <alignment horizontal="center" vertical="center" wrapText="1"/>
    </xf>
    <xf numFmtId="0" fontId="11" fillId="2" borderId="17" xfId="37" applyFont="1" applyFill="1" applyBorder="1" applyAlignment="1">
      <alignment vertical="center" wrapText="1"/>
    </xf>
    <xf numFmtId="0" fontId="11" fillId="2" borderId="15" xfId="36" applyFont="1" applyFill="1" applyBorder="1" applyAlignment="1">
      <alignment horizontal="center" vertical="center" wrapText="1"/>
    </xf>
    <xf numFmtId="0" fontId="11" fillId="2" borderId="13" xfId="36" applyFont="1" applyFill="1" applyBorder="1" applyAlignment="1">
      <alignment horizontal="center" vertical="center" wrapText="1"/>
    </xf>
    <xf numFmtId="0" fontId="26" fillId="2" borderId="13" xfId="36" applyFont="1" applyFill="1" applyBorder="1" applyAlignment="1">
      <alignment horizontal="center" vertical="center" wrapText="1"/>
    </xf>
    <xf numFmtId="0" fontId="29" fillId="2" borderId="4" xfId="36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2" borderId="16" xfId="0" applyFill="1" applyBorder="1" applyAlignment="1">
      <alignment horizontal="center" vertical="center" wrapText="1"/>
    </xf>
    <xf numFmtId="0" fontId="25" fillId="2" borderId="17" xfId="37" applyFont="1" applyFill="1" applyBorder="1" applyAlignment="1">
      <alignment vertical="center" wrapText="1"/>
    </xf>
    <xf numFmtId="0" fontId="11" fillId="2" borderId="15" xfId="37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25" fillId="2" borderId="2" xfId="37" applyFont="1" applyFill="1" applyBorder="1" applyAlignment="1">
      <alignment vertical="center" wrapText="1"/>
    </xf>
    <xf numFmtId="0" fontId="74" fillId="4" borderId="0" xfId="0" applyFont="1" applyFill="1" applyAlignment="1">
      <alignment horizontal="center" vertical="center"/>
    </xf>
    <xf numFmtId="0" fontId="29" fillId="13" borderId="16" xfId="36" applyFont="1" applyFill="1" applyBorder="1" applyAlignment="1">
      <alignment horizontal="center" vertical="center" wrapText="1"/>
    </xf>
    <xf numFmtId="0" fontId="29" fillId="13" borderId="17" xfId="36" applyFont="1" applyFill="1" applyBorder="1" applyAlignment="1">
      <alignment vertical="center" wrapText="1"/>
    </xf>
    <xf numFmtId="0" fontId="26" fillId="2" borderId="15" xfId="36" applyFont="1" applyFill="1" applyBorder="1" applyAlignment="1">
      <alignment horizontal="center" vertical="center" wrapText="1"/>
    </xf>
    <xf numFmtId="0" fontId="25" fillId="2" borderId="16" xfId="37" applyFont="1" applyFill="1" applyBorder="1" applyAlignment="1">
      <alignment horizontal="center" vertical="center" wrapText="1"/>
    </xf>
    <xf numFmtId="0" fontId="7" fillId="2" borderId="15" xfId="37" applyFont="1" applyFill="1" applyBorder="1" applyAlignment="1">
      <alignment horizontal="center" vertical="center" wrapText="1"/>
    </xf>
    <xf numFmtId="0" fontId="26" fillId="2" borderId="13" xfId="37" applyFont="1" applyFill="1" applyBorder="1" applyAlignment="1">
      <alignment horizontal="center" vertical="center" wrapText="1"/>
    </xf>
    <xf numFmtId="0" fontId="26" fillId="2" borderId="12" xfId="37" applyFont="1" applyFill="1" applyBorder="1" applyAlignment="1">
      <alignment horizontal="center" vertical="center" wrapText="1"/>
    </xf>
    <xf numFmtId="0" fontId="23" fillId="2" borderId="16" xfId="36" applyFont="1" applyFill="1" applyBorder="1" applyAlignment="1">
      <alignment horizontal="center" vertical="center" wrapText="1"/>
    </xf>
    <xf numFmtId="0" fontId="0" fillId="2" borderId="17" xfId="0" applyFill="1" applyBorder="1" applyAlignment="1">
      <alignment vertical="center" wrapText="1"/>
    </xf>
    <xf numFmtId="0" fontId="0" fillId="0" borderId="0" xfId="0" applyAlignment="1">
      <alignment vertical="center"/>
    </xf>
    <xf numFmtId="0" fontId="29" fillId="13" borderId="4" xfId="36" applyFont="1" applyFill="1" applyBorder="1" applyAlignment="1">
      <alignment vertical="center" wrapText="1"/>
    </xf>
    <xf numFmtId="0" fontId="25" fillId="2" borderId="16" xfId="37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42" fillId="0" borderId="0" xfId="0" applyFont="1"/>
    <xf numFmtId="0" fontId="14" fillId="0" borderId="0" xfId="0" applyFont="1" applyAlignment="1">
      <alignment vertical="center"/>
    </xf>
    <xf numFmtId="0" fontId="0" fillId="0" borderId="4" xfId="0" applyBorder="1" applyAlignment="1">
      <alignment horizontal="right"/>
    </xf>
    <xf numFmtId="0" fontId="51" fillId="0" borderId="4" xfId="36" applyFont="1" applyBorder="1" applyAlignment="1">
      <alignment horizontal="right" vertical="center"/>
    </xf>
    <xf numFmtId="0" fontId="33" fillId="0" borderId="0" xfId="36" applyFont="1"/>
    <xf numFmtId="0" fontId="22" fillId="0" borderId="0" xfId="36"/>
    <xf numFmtId="0" fontId="51" fillId="0" borderId="4" xfId="36" applyFont="1" applyBorder="1" applyAlignment="1">
      <alignment horizontal="right"/>
    </xf>
    <xf numFmtId="0" fontId="0" fillId="2" borderId="16" xfId="0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25" fillId="4" borderId="0" xfId="37" applyFont="1" applyFill="1" applyAlignment="1">
      <alignment vertical="center" wrapText="1"/>
    </xf>
    <xf numFmtId="0" fontId="11" fillId="4" borderId="0" xfId="37" applyFont="1" applyFill="1" applyAlignment="1">
      <alignment horizontal="center" vertical="center" wrapText="1"/>
    </xf>
    <xf numFmtId="169" fontId="23" fillId="4" borderId="0" xfId="30" applyNumberFormat="1" applyFont="1" applyFill="1" applyBorder="1" applyAlignment="1" applyProtection="1">
      <alignment horizontal="right" vertical="center" wrapText="1"/>
    </xf>
    <xf numFmtId="0" fontId="27" fillId="4" borderId="0" xfId="37" applyFont="1" applyFill="1" applyAlignment="1">
      <alignment horizontal="center" vertical="center" wrapText="1"/>
    </xf>
    <xf numFmtId="0" fontId="72" fillId="4" borderId="0" xfId="36" applyFont="1" applyFill="1" applyAlignment="1">
      <alignment horizontal="center" vertical="center" wrapText="1"/>
    </xf>
    <xf numFmtId="0" fontId="11" fillId="2" borderId="16" xfId="36" applyFont="1" applyFill="1" applyBorder="1" applyAlignment="1">
      <alignment horizontal="center" vertical="center" wrapText="1"/>
    </xf>
    <xf numFmtId="0" fontId="11" fillId="0" borderId="0" xfId="0" applyFont="1"/>
    <xf numFmtId="0" fontId="73" fillId="0" borderId="0" xfId="0" applyFont="1"/>
    <xf numFmtId="0" fontId="24" fillId="4" borderId="0" xfId="37" applyFont="1" applyFill="1" applyAlignment="1">
      <alignment horizontal="center" vertical="center" wrapText="1"/>
    </xf>
    <xf numFmtId="0" fontId="24" fillId="4" borderId="0" xfId="37" applyFont="1" applyFill="1" applyAlignment="1">
      <alignment vertical="center" wrapText="1"/>
    </xf>
    <xf numFmtId="0" fontId="26" fillId="4" borderId="0" xfId="37" applyFont="1" applyFill="1" applyAlignment="1">
      <alignment horizontal="center" vertical="center" wrapText="1"/>
    </xf>
    <xf numFmtId="2" fontId="26" fillId="4" borderId="0" xfId="37" applyNumberFormat="1" applyFont="1" applyFill="1" applyAlignment="1">
      <alignment horizontal="right" vertical="center" wrapText="1"/>
    </xf>
    <xf numFmtId="0" fontId="31" fillId="4" borderId="0" xfId="37" applyFont="1" applyFill="1" applyAlignment="1">
      <alignment horizontal="center" vertical="center" wrapText="1"/>
    </xf>
    <xf numFmtId="0" fontId="73" fillId="4" borderId="0" xfId="37" applyFont="1" applyFill="1" applyAlignment="1">
      <alignment horizontal="center" vertical="center" wrapText="1"/>
    </xf>
    <xf numFmtId="0" fontId="31" fillId="4" borderId="0" xfId="37" applyFont="1" applyFill="1" applyAlignment="1">
      <alignment vertical="center" wrapText="1"/>
    </xf>
    <xf numFmtId="0" fontId="11" fillId="0" borderId="0" xfId="37" applyFont="1" applyAlignment="1">
      <alignment horizontal="center" vertical="center" wrapText="1"/>
    </xf>
    <xf numFmtId="0" fontId="73" fillId="4" borderId="0" xfId="37" applyFont="1" applyFill="1" applyAlignment="1">
      <alignment vertical="center" wrapText="1"/>
    </xf>
    <xf numFmtId="0" fontId="11" fillId="0" borderId="0" xfId="37" applyFont="1" applyAlignment="1">
      <alignment horizontal="left" vertical="center" wrapText="1"/>
    </xf>
    <xf numFmtId="0" fontId="50" fillId="0" borderId="0" xfId="0" applyFont="1"/>
    <xf numFmtId="3" fontId="11" fillId="2" borderId="17" xfId="36" applyNumberFormat="1" applyFont="1" applyFill="1" applyBorder="1" applyAlignment="1">
      <alignment vertical="center" wrapText="1"/>
    </xf>
    <xf numFmtId="0" fontId="23" fillId="2" borderId="54" xfId="36" applyFont="1" applyFill="1" applyBorder="1" applyAlignment="1">
      <alignment horizontal="center" vertical="center"/>
    </xf>
    <xf numFmtId="3" fontId="11" fillId="2" borderId="41" xfId="36" applyNumberFormat="1" applyFont="1" applyFill="1" applyBorder="1" applyAlignment="1">
      <alignment vertical="center" wrapText="1"/>
    </xf>
    <xf numFmtId="0" fontId="23" fillId="2" borderId="54" xfId="36" applyFont="1" applyFill="1" applyBorder="1" applyAlignment="1">
      <alignment horizontal="center" vertical="center" wrapText="1"/>
    </xf>
    <xf numFmtId="0" fontId="23" fillId="2" borderId="41" xfId="36" applyFont="1" applyFill="1" applyBorder="1" applyAlignment="1">
      <alignment vertical="center" wrapText="1"/>
    </xf>
    <xf numFmtId="0" fontId="29" fillId="13" borderId="54" xfId="36" applyFont="1" applyFill="1" applyBorder="1" applyAlignment="1">
      <alignment horizontal="center" vertical="center" wrapText="1"/>
    </xf>
    <xf numFmtId="0" fontId="29" fillId="13" borderId="41" xfId="36" applyFont="1" applyFill="1" applyBorder="1" applyAlignment="1">
      <alignment vertical="center" wrapText="1"/>
    </xf>
    <xf numFmtId="0" fontId="11" fillId="2" borderId="41" xfId="37" applyFont="1" applyFill="1" applyBorder="1" applyAlignment="1">
      <alignment vertical="center" wrapText="1"/>
    </xf>
    <xf numFmtId="0" fontId="23" fillId="2" borderId="55" xfId="36" applyFont="1" applyFill="1" applyBorder="1" applyAlignment="1">
      <alignment horizontal="center" vertical="center" wrapText="1"/>
    </xf>
    <xf numFmtId="0" fontId="11" fillId="2" borderId="56" xfId="37" applyFont="1" applyFill="1" applyBorder="1" applyAlignment="1">
      <alignment vertical="center" wrapText="1"/>
    </xf>
    <xf numFmtId="0" fontId="11" fillId="2" borderId="44" xfId="36" applyFont="1" applyFill="1" applyBorder="1" applyAlignment="1">
      <alignment horizontal="center" vertical="center" wrapText="1"/>
    </xf>
    <xf numFmtId="0" fontId="23" fillId="2" borderId="44" xfId="36" applyFont="1" applyFill="1" applyBorder="1" applyAlignment="1">
      <alignment horizontal="center" vertical="center" wrapText="1"/>
    </xf>
    <xf numFmtId="0" fontId="26" fillId="2" borderId="44" xfId="36" applyFont="1" applyFill="1" applyBorder="1" applyAlignment="1">
      <alignment horizontal="center" vertical="center" wrapText="1"/>
    </xf>
    <xf numFmtId="0" fontId="11" fillId="2" borderId="57" xfId="36" applyFont="1" applyFill="1" applyBorder="1" applyAlignment="1">
      <alignment horizontal="center" vertical="center" wrapText="1"/>
    </xf>
    <xf numFmtId="49" fontId="11" fillId="9" borderId="54" xfId="36" applyNumberFormat="1" applyFont="1" applyFill="1" applyBorder="1" applyAlignment="1" applyProtection="1">
      <alignment horizontal="right" vertical="center" wrapText="1"/>
      <protection locked="0"/>
    </xf>
    <xf numFmtId="3" fontId="23" fillId="12" borderId="54" xfId="30" applyNumberFormat="1" applyFont="1" applyFill="1" applyBorder="1" applyAlignment="1" applyProtection="1">
      <alignment horizontal="right" vertical="center" wrapText="1"/>
      <protection locked="0"/>
    </xf>
    <xf numFmtId="49" fontId="26" fillId="9" borderId="54" xfId="36" applyNumberFormat="1" applyFont="1" applyFill="1" applyBorder="1" applyAlignment="1" applyProtection="1">
      <alignment horizontal="right" vertical="center" wrapText="1"/>
      <protection locked="0"/>
    </xf>
    <xf numFmtId="49" fontId="11" fillId="9" borderId="55" xfId="36" applyNumberFormat="1" applyFont="1" applyFill="1" applyBorder="1" applyAlignment="1" applyProtection="1">
      <alignment horizontal="right" vertical="center" wrapText="1"/>
      <protection locked="0"/>
    </xf>
    <xf numFmtId="0" fontId="79" fillId="2" borderId="41" xfId="69" applyFont="1" applyFill="1" applyBorder="1"/>
    <xf numFmtId="0" fontId="78" fillId="0" borderId="0" xfId="69"/>
    <xf numFmtId="0" fontId="79" fillId="2" borderId="41" xfId="69" applyFont="1" applyFill="1" applyBorder="1" applyAlignment="1">
      <alignment wrapText="1"/>
    </xf>
    <xf numFmtId="0" fontId="78" fillId="0" borderId="41" xfId="69" applyBorder="1"/>
    <xf numFmtId="0" fontId="11" fillId="4" borderId="0" xfId="0" applyFont="1" applyFill="1"/>
    <xf numFmtId="0" fontId="76" fillId="4" borderId="0" xfId="37" applyFont="1" applyFill="1" applyAlignment="1">
      <alignment horizontal="center" vertical="center" wrapText="1"/>
    </xf>
    <xf numFmtId="0" fontId="23" fillId="0" borderId="0" xfId="36" applyFont="1" applyAlignment="1">
      <alignment horizontal="center" vertical="center" wrapText="1"/>
    </xf>
    <xf numFmtId="0" fontId="23" fillId="2" borderId="16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 wrapText="1"/>
    </xf>
    <xf numFmtId="0" fontId="72" fillId="4" borderId="0" xfId="37" applyFont="1" applyFill="1" applyAlignment="1">
      <alignment horizontal="center" vertical="center" wrapText="1"/>
    </xf>
    <xf numFmtId="0" fontId="23" fillId="2" borderId="16" xfId="0" applyFont="1" applyFill="1" applyBorder="1" applyAlignment="1">
      <alignment horizontal="center" vertical="center" wrapText="1"/>
    </xf>
    <xf numFmtId="0" fontId="72" fillId="4" borderId="0" xfId="37" applyFont="1" applyFill="1" applyAlignment="1">
      <alignment vertical="center" wrapText="1"/>
    </xf>
    <xf numFmtId="0" fontId="0" fillId="0" borderId="2" xfId="0" applyBorder="1" applyAlignment="1">
      <alignment horizontal="right"/>
    </xf>
    <xf numFmtId="4" fontId="0" fillId="7" borderId="44" xfId="0" applyNumberFormat="1" applyFill="1" applyBorder="1" applyAlignment="1">
      <alignment horizontal="right" vertical="center"/>
    </xf>
    <xf numFmtId="0" fontId="2" fillId="11" borderId="44" xfId="0" applyFont="1" applyFill="1" applyBorder="1" applyAlignment="1">
      <alignment horizontal="right" vertical="center"/>
    </xf>
    <xf numFmtId="0" fontId="0" fillId="0" borderId="0" xfId="0" quotePrefix="1"/>
    <xf numFmtId="0" fontId="26" fillId="2" borderId="41" xfId="37" applyFont="1" applyFill="1" applyBorder="1" applyAlignment="1">
      <alignment vertical="center" wrapText="1"/>
    </xf>
    <xf numFmtId="0" fontId="29" fillId="2" borderId="41" xfId="36" applyFont="1" applyFill="1" applyBorder="1" applyAlignment="1">
      <alignment vertical="center" wrapText="1"/>
    </xf>
    <xf numFmtId="0" fontId="25" fillId="2" borderId="41" xfId="37" applyFont="1" applyFill="1" applyBorder="1" applyAlignment="1">
      <alignment vertical="center" wrapText="1"/>
    </xf>
    <xf numFmtId="0" fontId="28" fillId="2" borderId="41" xfId="37" applyFont="1" applyFill="1" applyBorder="1" applyAlignment="1">
      <alignment horizontal="left" vertical="center" wrapText="1" indent="2"/>
    </xf>
    <xf numFmtId="0" fontId="28" fillId="2" borderId="41" xfId="37" applyFont="1" applyFill="1" applyBorder="1" applyAlignment="1">
      <alignment horizontal="left" vertical="center" wrapText="1"/>
    </xf>
    <xf numFmtId="0" fontId="25" fillId="2" borderId="41" xfId="37" applyFont="1" applyFill="1" applyBorder="1" applyAlignment="1">
      <alignment horizontal="left" vertical="center" wrapText="1"/>
    </xf>
    <xf numFmtId="0" fontId="24" fillId="2" borderId="41" xfId="37" applyFont="1" applyFill="1" applyBorder="1" applyAlignment="1">
      <alignment vertical="center" wrapText="1"/>
    </xf>
    <xf numFmtId="0" fontId="0" fillId="2" borderId="41" xfId="0" applyFill="1" applyBorder="1" applyAlignment="1">
      <alignment vertical="center" wrapText="1"/>
    </xf>
    <xf numFmtId="0" fontId="0" fillId="2" borderId="41" xfId="0" applyFill="1" applyBorder="1" applyAlignment="1">
      <alignment horizontal="left" vertical="center" wrapText="1"/>
    </xf>
    <xf numFmtId="0" fontId="1" fillId="2" borderId="41" xfId="0" applyFont="1" applyFill="1" applyBorder="1" applyAlignment="1">
      <alignment horizontal="left" vertical="center" wrapText="1" indent="2"/>
    </xf>
    <xf numFmtId="0" fontId="41" fillId="2" borderId="41" xfId="40" quotePrefix="1" applyFont="1" applyFill="1" applyBorder="1" applyAlignment="1">
      <alignment horizontal="left" vertical="center" wrapText="1" indent="4"/>
    </xf>
    <xf numFmtId="0" fontId="41" fillId="2" borderId="41" xfId="37" applyFont="1" applyFill="1" applyBorder="1" applyAlignment="1">
      <alignment horizontal="left" vertical="center" wrapText="1" indent="2"/>
    </xf>
    <xf numFmtId="0" fontId="25" fillId="13" borderId="41" xfId="37" applyFont="1" applyFill="1" applyBorder="1" applyAlignment="1">
      <alignment vertical="center" wrapText="1"/>
    </xf>
    <xf numFmtId="0" fontId="28" fillId="13" borderId="41" xfId="37" applyFont="1" applyFill="1" applyBorder="1" applyAlignment="1">
      <alignment horizontal="left" vertical="center" wrapText="1" indent="2"/>
    </xf>
    <xf numFmtId="0" fontId="28" fillId="2" borderId="41" xfId="37" applyFont="1" applyFill="1" applyBorder="1" applyAlignment="1">
      <alignment horizontal="left" vertical="center" wrapText="1" indent="3"/>
    </xf>
    <xf numFmtId="0" fontId="28" fillId="2" borderId="41" xfId="37" quotePrefix="1" applyFont="1" applyFill="1" applyBorder="1" applyAlignment="1">
      <alignment horizontal="left" vertical="center" wrapText="1" indent="4"/>
    </xf>
    <xf numFmtId="0" fontId="11" fillId="2" borderId="41" xfId="36" applyFont="1" applyFill="1" applyBorder="1" applyAlignment="1">
      <alignment vertical="center" wrapText="1"/>
    </xf>
    <xf numFmtId="0" fontId="24" fillId="13" borderId="41" xfId="37" applyFont="1" applyFill="1" applyBorder="1" applyAlignment="1">
      <alignment vertical="center" wrapText="1"/>
    </xf>
    <xf numFmtId="0" fontId="11" fillId="2" borderId="41" xfId="40" applyFont="1" applyFill="1" applyBorder="1" applyAlignment="1">
      <alignment horizontal="left" vertical="center" wrapText="1"/>
    </xf>
    <xf numFmtId="0" fontId="41" fillId="2" borderId="41" xfId="40" applyFont="1" applyFill="1" applyBorder="1" applyAlignment="1">
      <alignment horizontal="left" vertical="center" wrapText="1" indent="2"/>
    </xf>
    <xf numFmtId="0" fontId="26" fillId="2" borderId="41" xfId="40" applyFont="1" applyFill="1" applyBorder="1" applyAlignment="1">
      <alignment vertical="center" wrapText="1"/>
    </xf>
    <xf numFmtId="0" fontId="11" fillId="2" borderId="41" xfId="40" applyFont="1" applyFill="1" applyBorder="1" applyAlignment="1">
      <alignment vertical="center" wrapText="1"/>
    </xf>
    <xf numFmtId="0" fontId="41" fillId="2" borderId="41" xfId="40" applyFont="1" applyFill="1" applyBorder="1" applyAlignment="1">
      <alignment horizontal="left" vertical="center" wrapText="1"/>
    </xf>
    <xf numFmtId="0" fontId="41" fillId="2" borderId="41" xfId="37" applyFont="1" applyFill="1" applyBorder="1" applyAlignment="1">
      <alignment horizontal="left" vertical="center" wrapText="1"/>
    </xf>
    <xf numFmtId="0" fontId="4" fillId="2" borderId="41" xfId="0" applyFont="1" applyFill="1" applyBorder="1" applyAlignment="1">
      <alignment vertical="center" wrapText="1"/>
    </xf>
    <xf numFmtId="0" fontId="41" fillId="2" borderId="41" xfId="40" applyFont="1" applyFill="1" applyBorder="1" applyAlignment="1">
      <alignment horizontal="left" vertical="center" wrapText="1" indent="4"/>
    </xf>
    <xf numFmtId="0" fontId="2" fillId="2" borderId="41" xfId="0" applyFont="1" applyFill="1" applyBorder="1" applyAlignment="1">
      <alignment vertical="center" wrapText="1"/>
    </xf>
    <xf numFmtId="0" fontId="24" fillId="2" borderId="41" xfId="37" applyFont="1" applyFill="1" applyBorder="1" applyAlignment="1">
      <alignment horizontal="left" vertical="center" wrapText="1"/>
    </xf>
    <xf numFmtId="0" fontId="45" fillId="2" borderId="41" xfId="38" applyFont="1" applyFill="1" applyBorder="1" applyAlignment="1">
      <alignment horizontal="left" vertical="center" wrapText="1"/>
    </xf>
    <xf numFmtId="0" fontId="46" fillId="2" borderId="41" xfId="38" applyFont="1" applyFill="1" applyBorder="1" applyAlignment="1">
      <alignment horizontal="left" vertical="center" wrapText="1"/>
    </xf>
    <xf numFmtId="0" fontId="46" fillId="2" borderId="41" xfId="38" applyFont="1" applyFill="1" applyBorder="1" applyAlignment="1">
      <alignment horizontal="left" vertical="center" wrapText="1" indent="2"/>
    </xf>
    <xf numFmtId="0" fontId="11" fillId="2" borderId="41" xfId="0" applyFont="1" applyFill="1" applyBorder="1" applyAlignment="1">
      <alignment vertical="center" wrapText="1"/>
    </xf>
    <xf numFmtId="0" fontId="41" fillId="2" borderId="41" xfId="40" quotePrefix="1" applyFont="1" applyFill="1" applyBorder="1" applyAlignment="1">
      <alignment horizontal="left" vertical="center" wrapText="1" indent="2"/>
    </xf>
    <xf numFmtId="169" fontId="23" fillId="9" borderId="54" xfId="30" applyNumberFormat="1" applyFont="1" applyFill="1" applyBorder="1" applyAlignment="1" applyProtection="1">
      <alignment horizontal="right" vertical="center" wrapText="1"/>
      <protection locked="0"/>
    </xf>
    <xf numFmtId="169" fontId="23" fillId="7" borderId="54" xfId="30" applyNumberFormat="1" applyFont="1" applyFill="1" applyBorder="1" applyAlignment="1" applyProtection="1">
      <alignment horizontal="right" vertical="center" wrapText="1"/>
    </xf>
    <xf numFmtId="172" fontId="26" fillId="7" borderId="54" xfId="37" applyNumberFormat="1" applyFont="1" applyFill="1" applyBorder="1" applyAlignment="1">
      <alignment horizontal="right" vertical="center" wrapText="1"/>
    </xf>
    <xf numFmtId="10" fontId="24" fillId="7" borderId="54" xfId="31" applyNumberFormat="1" applyFont="1" applyFill="1" applyBorder="1" applyAlignment="1" applyProtection="1">
      <alignment horizontal="right" vertical="center" wrapText="1"/>
    </xf>
    <xf numFmtId="49" fontId="26" fillId="7" borderId="54" xfId="37" applyNumberFormat="1" applyFont="1" applyFill="1" applyBorder="1" applyAlignment="1">
      <alignment horizontal="right" vertical="center" wrapText="1"/>
    </xf>
    <xf numFmtId="49" fontId="26" fillId="7" borderId="44" xfId="37" applyNumberFormat="1" applyFont="1" applyFill="1" applyBorder="1" applyAlignment="1">
      <alignment horizontal="right" vertical="center" wrapText="1"/>
    </xf>
    <xf numFmtId="3" fontId="26" fillId="7" borderId="54" xfId="37" applyNumberFormat="1" applyFont="1" applyFill="1" applyBorder="1" applyAlignment="1">
      <alignment horizontal="right" vertical="center" wrapText="1"/>
    </xf>
    <xf numFmtId="49" fontId="11" fillId="9" borderId="54" xfId="37" applyNumberFormat="1" applyFont="1" applyFill="1" applyBorder="1" applyAlignment="1" applyProtection="1">
      <alignment horizontal="right" vertical="center" wrapText="1"/>
      <protection locked="0"/>
    </xf>
    <xf numFmtId="3" fontId="20" fillId="11" borderId="54" xfId="39" applyNumberFormat="1" applyFont="1" applyFill="1" applyBorder="1" applyAlignment="1" applyProtection="1">
      <alignment vertical="center" wrapText="1"/>
    </xf>
    <xf numFmtId="10" fontId="2" fillId="7" borderId="54" xfId="31" applyNumberFormat="1" applyFont="1" applyFill="1" applyBorder="1" applyAlignment="1" applyProtection="1">
      <alignment horizontal="right" vertical="center"/>
    </xf>
    <xf numFmtId="3" fontId="2" fillId="9" borderId="55" xfId="0" applyNumberFormat="1" applyFont="1" applyFill="1" applyBorder="1" applyAlignment="1" applyProtection="1">
      <alignment horizontal="right" vertical="center"/>
      <protection locked="0"/>
    </xf>
    <xf numFmtId="3" fontId="11" fillId="7" borderId="54" xfId="37" applyNumberFormat="1" applyFont="1" applyFill="1" applyBorder="1" applyAlignment="1">
      <alignment horizontal="right" vertical="center" wrapText="1"/>
    </xf>
    <xf numFmtId="49" fontId="26" fillId="7" borderId="54" xfId="36" quotePrefix="1" applyNumberFormat="1" applyFont="1" applyFill="1" applyBorder="1" applyAlignment="1">
      <alignment horizontal="right" vertical="center" wrapText="1"/>
    </xf>
    <xf numFmtId="49" fontId="29" fillId="12" borderId="54" xfId="30" applyNumberFormat="1" applyFont="1" applyFill="1" applyBorder="1" applyAlignment="1" applyProtection="1">
      <alignment horizontal="right" vertical="center" wrapText="1"/>
      <protection locked="0"/>
    </xf>
    <xf numFmtId="3" fontId="11" fillId="9" borderId="54" xfId="37" applyNumberFormat="1" applyFont="1" applyFill="1" applyBorder="1" applyAlignment="1" applyProtection="1">
      <alignment horizontal="right" vertical="center" wrapText="1"/>
      <protection locked="0"/>
    </xf>
    <xf numFmtId="0" fontId="26" fillId="7" borderId="54" xfId="37" applyFont="1" applyFill="1" applyBorder="1" applyAlignment="1">
      <alignment horizontal="right" vertical="center" wrapText="1"/>
    </xf>
    <xf numFmtId="10" fontId="26" fillId="7" borderId="54" xfId="31" applyNumberFormat="1" applyFont="1" applyFill="1" applyBorder="1" applyAlignment="1" applyProtection="1">
      <alignment horizontal="right" vertical="center" wrapText="1"/>
    </xf>
    <xf numFmtId="10" fontId="26" fillId="7" borderId="55" xfId="31" applyNumberFormat="1" applyFont="1" applyFill="1" applyBorder="1" applyAlignment="1" applyProtection="1">
      <alignment horizontal="right" vertical="center" wrapText="1"/>
    </xf>
    <xf numFmtId="0" fontId="54" fillId="20" borderId="65" xfId="7" applyNumberFormat="1" applyFont="1" applyFill="1" applyBorder="1" applyAlignment="1">
      <alignment horizontal="center" vertical="center" wrapText="1"/>
    </xf>
    <xf numFmtId="0" fontId="26" fillId="7" borderId="43" xfId="37" applyFont="1" applyFill="1" applyBorder="1" applyAlignment="1">
      <alignment horizontal="right" vertical="center" wrapText="1"/>
    </xf>
    <xf numFmtId="0" fontId="2" fillId="11" borderId="43" xfId="0" applyFont="1" applyFill="1" applyBorder="1" applyAlignment="1">
      <alignment horizontal="right" vertical="center"/>
    </xf>
    <xf numFmtId="4" fontId="2" fillId="11" borderId="43" xfId="30" applyNumberFormat="1" applyFont="1" applyFill="1" applyBorder="1" applyAlignment="1" applyProtection="1">
      <alignment horizontal="right" vertical="center"/>
    </xf>
    <xf numFmtId="49" fontId="2" fillId="11" borderId="43" xfId="31" applyNumberFormat="1" applyFont="1" applyFill="1" applyBorder="1" applyAlignment="1" applyProtection="1">
      <alignment horizontal="right" vertical="center"/>
    </xf>
    <xf numFmtId="4" fontId="2" fillId="11" borderId="43" xfId="0" applyNumberFormat="1" applyFont="1" applyFill="1" applyBorder="1" applyAlignment="1">
      <alignment horizontal="right" vertical="center"/>
    </xf>
    <xf numFmtId="49" fontId="26" fillId="7" borderId="43" xfId="37" applyNumberFormat="1" applyFont="1" applyFill="1" applyBorder="1" applyAlignment="1">
      <alignment horizontal="right" vertical="center" wrapText="1"/>
    </xf>
    <xf numFmtId="0" fontId="2" fillId="7" borderId="44" xfId="0" applyFont="1" applyFill="1" applyBorder="1" applyAlignment="1">
      <alignment horizontal="right" vertical="center"/>
    </xf>
    <xf numFmtId="4" fontId="2" fillId="11" borderId="44" xfId="30" applyNumberFormat="1" applyFont="1" applyFill="1" applyBorder="1" applyAlignment="1" applyProtection="1">
      <alignment horizontal="right" vertical="center"/>
    </xf>
    <xf numFmtId="173" fontId="0" fillId="7" borderId="44" xfId="31" applyNumberFormat="1" applyFont="1" applyFill="1" applyBorder="1" applyAlignment="1" applyProtection="1">
      <alignment horizontal="right" vertical="center"/>
    </xf>
    <xf numFmtId="4" fontId="0" fillId="7" borderId="44" xfId="31" applyNumberFormat="1" applyFont="1" applyFill="1" applyBorder="1" applyAlignment="1" applyProtection="1">
      <alignment horizontal="right" vertical="center"/>
    </xf>
    <xf numFmtId="172" fontId="0" fillId="7" borderId="44" xfId="31" applyNumberFormat="1" applyFont="1" applyFill="1" applyBorder="1" applyAlignment="1" applyProtection="1">
      <alignment vertical="center"/>
    </xf>
    <xf numFmtId="172" fontId="0" fillId="7" borderId="44" xfId="31" applyNumberFormat="1" applyFont="1" applyFill="1" applyBorder="1" applyAlignment="1" applyProtection="1">
      <alignment horizontal="right" vertical="center"/>
    </xf>
    <xf numFmtId="10" fontId="0" fillId="7" borderId="44" xfId="31" applyNumberFormat="1" applyFont="1" applyFill="1" applyBorder="1" applyAlignment="1" applyProtection="1">
      <alignment horizontal="right" vertical="center"/>
    </xf>
    <xf numFmtId="49" fontId="11" fillId="7" borderId="54" xfId="36" quotePrefix="1" applyNumberFormat="1" applyFont="1" applyFill="1" applyBorder="1" applyAlignment="1">
      <alignment horizontal="right" vertical="center" wrapText="1"/>
    </xf>
    <xf numFmtId="49" fontId="29" fillId="7" borderId="54" xfId="36" applyNumberFormat="1" applyFont="1" applyFill="1" applyBorder="1" applyAlignment="1">
      <alignment horizontal="right" vertical="center" wrapText="1"/>
    </xf>
    <xf numFmtId="0" fontId="31" fillId="4" borderId="0" xfId="0" applyFont="1" applyFill="1" applyAlignment="1">
      <alignment horizontal="center" vertical="center"/>
    </xf>
    <xf numFmtId="49" fontId="3" fillId="0" borderId="41" xfId="0" applyNumberFormat="1" applyFont="1" applyBorder="1" applyAlignment="1" applyProtection="1">
      <alignment horizontal="right"/>
      <protection locked="0"/>
    </xf>
    <xf numFmtId="0" fontId="14" fillId="0" borderId="0" xfId="0" applyFont="1"/>
    <xf numFmtId="0" fontId="54" fillId="20" borderId="41" xfId="7" applyNumberFormat="1" applyFont="1" applyFill="1" applyBorder="1" applyAlignment="1">
      <alignment horizontal="center" vertical="center" wrapText="1"/>
    </xf>
    <xf numFmtId="0" fontId="81" fillId="0" borderId="41" xfId="0" quotePrefix="1" applyFont="1" applyBorder="1" applyAlignment="1">
      <alignment horizontal="center"/>
    </xf>
    <xf numFmtId="0" fontId="81" fillId="0" borderId="0" xfId="0" applyFont="1"/>
    <xf numFmtId="0" fontId="24" fillId="2" borderId="19" xfId="37" applyFont="1" applyFill="1" applyBorder="1" applyAlignment="1">
      <alignment horizontal="center" vertical="center" wrapText="1"/>
    </xf>
    <xf numFmtId="0" fontId="72" fillId="21" borderId="54" xfId="36" applyFont="1" applyFill="1" applyBorder="1" applyAlignment="1">
      <alignment horizontal="center" vertical="center" wrapText="1"/>
    </xf>
    <xf numFmtId="0" fontId="72" fillId="0" borderId="55" xfId="36" applyFont="1" applyBorder="1" applyAlignment="1">
      <alignment horizontal="center" vertical="center" wrapText="1"/>
    </xf>
    <xf numFmtId="0" fontId="72" fillId="0" borderId="16" xfId="36" applyFont="1" applyBorder="1" applyAlignment="1">
      <alignment horizontal="center" vertical="center" wrapText="1"/>
    </xf>
    <xf numFmtId="0" fontId="73" fillId="21" borderId="54" xfId="37" applyFont="1" applyFill="1" applyBorder="1" applyAlignment="1">
      <alignment horizontal="center" vertical="center" wrapText="1"/>
    </xf>
    <xf numFmtId="0" fontId="73" fillId="21" borderId="55" xfId="37" applyFont="1" applyFill="1" applyBorder="1" applyAlignment="1">
      <alignment horizontal="center" vertical="center" wrapText="1"/>
    </xf>
    <xf numFmtId="0" fontId="73" fillId="21" borderId="54" xfId="0" applyFont="1" applyFill="1" applyBorder="1"/>
    <xf numFmtId="0" fontId="73" fillId="21" borderId="55" xfId="0" applyFont="1" applyFill="1" applyBorder="1"/>
    <xf numFmtId="0" fontId="72" fillId="21" borderId="58" xfId="37" applyFont="1" applyFill="1" applyBorder="1" applyAlignment="1">
      <alignment horizontal="center" vertical="center" wrapText="1"/>
    </xf>
    <xf numFmtId="0" fontId="73" fillId="21" borderId="16" xfId="37" applyFont="1" applyFill="1" applyBorder="1" applyAlignment="1">
      <alignment horizontal="center" vertical="center" wrapText="1"/>
    </xf>
    <xf numFmtId="0" fontId="72" fillId="4" borderId="54" xfId="36" applyFont="1" applyFill="1" applyBorder="1" applyAlignment="1">
      <alignment horizontal="center" vertical="center" wrapText="1"/>
    </xf>
    <xf numFmtId="0" fontId="72" fillId="21" borderId="16" xfId="36" applyFont="1" applyFill="1" applyBorder="1" applyAlignment="1">
      <alignment horizontal="center" vertical="center" wrapText="1"/>
    </xf>
    <xf numFmtId="0" fontId="73" fillId="21" borderId="58" xfId="37" applyFont="1" applyFill="1" applyBorder="1" applyAlignment="1">
      <alignment horizontal="center" vertical="center" wrapText="1"/>
    </xf>
    <xf numFmtId="0" fontId="73" fillId="23" borderId="54" xfId="0" applyFont="1" applyFill="1" applyBorder="1" applyAlignment="1">
      <alignment horizontal="center" vertical="center"/>
    </xf>
    <xf numFmtId="0" fontId="73" fillId="21" borderId="16" xfId="0" applyFont="1" applyFill="1" applyBorder="1"/>
    <xf numFmtId="0" fontId="73" fillId="21" borderId="12" xfId="0" applyFont="1" applyFill="1" applyBorder="1"/>
    <xf numFmtId="0" fontId="72" fillId="21" borderId="54" xfId="37" applyFont="1" applyFill="1" applyBorder="1" applyAlignment="1">
      <alignment horizontal="center" vertical="center" wrapText="1"/>
    </xf>
    <xf numFmtId="0" fontId="72" fillId="21" borderId="55" xfId="37" applyFont="1" applyFill="1" applyBorder="1" applyAlignment="1">
      <alignment horizontal="center" vertical="center" wrapText="1"/>
    </xf>
    <xf numFmtId="0" fontId="72" fillId="23" borderId="54" xfId="37" applyFont="1" applyFill="1" applyBorder="1" applyAlignment="1">
      <alignment horizontal="center" vertical="center" wrapText="1"/>
    </xf>
    <xf numFmtId="0" fontId="72" fillId="22" borderId="55" xfId="37" applyFont="1" applyFill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53" fillId="0" borderId="55" xfId="0" applyFont="1" applyBorder="1" applyAlignment="1">
      <alignment horizontal="center" vertical="center"/>
    </xf>
    <xf numFmtId="0" fontId="0" fillId="2" borderId="54" xfId="0" applyFill="1" applyBorder="1" applyAlignment="1">
      <alignment horizontal="center" vertical="center"/>
    </xf>
    <xf numFmtId="0" fontId="26" fillId="2" borderId="44" xfId="37" applyFont="1" applyFill="1" applyBorder="1" applyAlignment="1">
      <alignment horizontal="center" vertical="center" wrapText="1"/>
    </xf>
    <xf numFmtId="0" fontId="11" fillId="2" borderId="44" xfId="37" applyFont="1" applyFill="1" applyBorder="1" applyAlignment="1">
      <alignment horizontal="center" vertical="center" wrapText="1"/>
    </xf>
    <xf numFmtId="0" fontId="69" fillId="2" borderId="41" xfId="0" applyFont="1" applyFill="1" applyBorder="1" applyAlignment="1">
      <alignment horizontal="left" vertical="center" wrapText="1"/>
    </xf>
    <xf numFmtId="0" fontId="11" fillId="2" borderId="44" xfId="0" applyFont="1" applyFill="1" applyBorder="1" applyAlignment="1">
      <alignment horizontal="center" vertical="center" wrapText="1"/>
    </xf>
    <xf numFmtId="0" fontId="11" fillId="2" borderId="57" xfId="0" applyFont="1" applyFill="1" applyBorder="1" applyAlignment="1">
      <alignment horizontal="center" vertical="center" wrapText="1"/>
    </xf>
    <xf numFmtId="0" fontId="11" fillId="2" borderId="54" xfId="37" applyFont="1" applyFill="1" applyBorder="1" applyAlignment="1">
      <alignment horizontal="center" vertical="center" wrapText="1"/>
    </xf>
    <xf numFmtId="0" fontId="26" fillId="2" borderId="54" xfId="37" applyFont="1" applyFill="1" applyBorder="1" applyAlignment="1">
      <alignment horizontal="center" vertical="center" wrapText="1"/>
    </xf>
    <xf numFmtId="172" fontId="29" fillId="7" borderId="54" xfId="36" applyNumberFormat="1" applyFont="1" applyFill="1" applyBorder="1" applyAlignment="1">
      <alignment horizontal="right" vertical="center" wrapText="1"/>
    </xf>
    <xf numFmtId="0" fontId="29" fillId="2" borderId="54" xfId="36" applyFont="1" applyFill="1" applyBorder="1" applyAlignment="1">
      <alignment horizontal="center" vertical="center" wrapText="1"/>
    </xf>
    <xf numFmtId="3" fontId="11" fillId="9" borderId="43" xfId="37" applyNumberFormat="1" applyFont="1" applyFill="1" applyBorder="1" applyAlignment="1" applyProtection="1">
      <alignment vertical="center" wrapText="1"/>
      <protection locked="0"/>
    </xf>
    <xf numFmtId="0" fontId="0" fillId="2" borderId="54" xfId="0" applyFill="1" applyBorder="1" applyAlignment="1">
      <alignment horizontal="center" vertical="center" wrapText="1"/>
    </xf>
    <xf numFmtId="0" fontId="25" fillId="2" borderId="54" xfId="37" applyFont="1" applyFill="1" applyBorder="1" applyAlignment="1">
      <alignment horizontal="center" vertical="center" wrapText="1"/>
    </xf>
    <xf numFmtId="0" fontId="72" fillId="22" borderId="54" xfId="36" applyFont="1" applyFill="1" applyBorder="1" applyAlignment="1">
      <alignment horizontal="center" vertical="center" wrapText="1"/>
    </xf>
    <xf numFmtId="3" fontId="11" fillId="7" borderId="54" xfId="37" applyNumberFormat="1" applyFont="1" applyFill="1" applyBorder="1" applyAlignment="1">
      <alignment vertical="center" wrapText="1"/>
    </xf>
    <xf numFmtId="0" fontId="24" fillId="2" borderId="54" xfId="37" applyFont="1" applyFill="1" applyBorder="1" applyAlignment="1">
      <alignment horizontal="center" vertical="center" wrapText="1"/>
    </xf>
    <xf numFmtId="4" fontId="26" fillId="7" borderId="54" xfId="37" applyNumberFormat="1" applyFont="1" applyFill="1" applyBorder="1" applyAlignment="1">
      <alignment horizontal="right" vertical="center" wrapText="1"/>
    </xf>
    <xf numFmtId="172" fontId="26" fillId="7" borderId="54" xfId="31" applyNumberFormat="1" applyFont="1" applyFill="1" applyBorder="1" applyAlignment="1" applyProtection="1">
      <alignment horizontal="right" vertical="center" wrapText="1"/>
    </xf>
    <xf numFmtId="0" fontId="24" fillId="2" borderId="55" xfId="37" applyFont="1" applyFill="1" applyBorder="1" applyAlignment="1">
      <alignment horizontal="center" vertical="center" wrapText="1"/>
    </xf>
    <xf numFmtId="0" fontId="26" fillId="2" borderId="56" xfId="37" applyFont="1" applyFill="1" applyBorder="1" applyAlignment="1">
      <alignment vertical="center" wrapText="1"/>
    </xf>
    <xf numFmtId="0" fontId="7" fillId="2" borderId="44" xfId="37" applyFont="1" applyFill="1" applyBorder="1" applyAlignment="1">
      <alignment horizontal="center" vertical="center" wrapText="1"/>
    </xf>
    <xf numFmtId="0" fontId="25" fillId="2" borderId="58" xfId="37" applyFont="1" applyFill="1" applyBorder="1" applyAlignment="1">
      <alignment horizontal="center" vertical="center" wrapText="1"/>
    </xf>
    <xf numFmtId="0" fontId="26" fillId="2" borderId="55" xfId="37" applyFont="1" applyFill="1" applyBorder="1" applyAlignment="1">
      <alignment horizontal="center" vertical="center" wrapText="1"/>
    </xf>
    <xf numFmtId="0" fontId="24" fillId="2" borderId="56" xfId="37" applyFont="1" applyFill="1" applyBorder="1" applyAlignment="1">
      <alignment vertical="center" wrapText="1"/>
    </xf>
    <xf numFmtId="0" fontId="26" fillId="2" borderId="57" xfId="37" applyFont="1" applyFill="1" applyBorder="1" applyAlignment="1">
      <alignment horizontal="center" vertical="center" wrapText="1"/>
    </xf>
    <xf numFmtId="172" fontId="26" fillId="7" borderId="55" xfId="37" applyNumberFormat="1" applyFont="1" applyFill="1" applyBorder="1" applyAlignment="1">
      <alignment horizontal="right" vertical="center" wrapText="1"/>
    </xf>
    <xf numFmtId="0" fontId="11" fillId="2" borderId="41" xfId="0" applyFont="1" applyFill="1" applyBorder="1" applyAlignment="1">
      <alignment horizontal="left" vertical="center" wrapText="1"/>
    </xf>
    <xf numFmtId="0" fontId="41" fillId="2" borderId="41" xfId="0" applyFont="1" applyFill="1" applyBorder="1" applyAlignment="1">
      <alignment horizontal="left" vertical="center" wrapText="1" indent="2"/>
    </xf>
    <xf numFmtId="0" fontId="25" fillId="2" borderId="54" xfId="37" applyFont="1" applyFill="1" applyBorder="1" applyAlignment="1">
      <alignment horizontal="center" vertical="center"/>
    </xf>
    <xf numFmtId="0" fontId="24" fillId="2" borderId="54" xfId="37" applyFont="1" applyFill="1" applyBorder="1" applyAlignment="1">
      <alignment horizontal="center" vertical="center"/>
    </xf>
    <xf numFmtId="173" fontId="26" fillId="7" borderId="54" xfId="37" quotePrefix="1" applyNumberFormat="1" applyFont="1" applyFill="1" applyBorder="1" applyAlignment="1">
      <alignment vertical="center"/>
    </xf>
    <xf numFmtId="0" fontId="11" fillId="2" borderId="54" xfId="37" applyFont="1" applyFill="1" applyBorder="1" applyAlignment="1">
      <alignment horizontal="center" vertical="center"/>
    </xf>
    <xf numFmtId="10" fontId="26" fillId="7" borderId="54" xfId="37" quotePrefix="1" applyNumberFormat="1" applyFont="1" applyFill="1" applyBorder="1" applyAlignment="1">
      <alignment vertical="center"/>
    </xf>
    <xf numFmtId="4" fontId="24" fillId="7" borderId="54" xfId="31" applyNumberFormat="1" applyFont="1" applyFill="1" applyBorder="1" applyAlignment="1" applyProtection="1">
      <alignment vertical="center"/>
    </xf>
    <xf numFmtId="0" fontId="69" fillId="2" borderId="41" xfId="37" applyFont="1" applyFill="1" applyBorder="1" applyAlignment="1">
      <alignment vertical="center" wrapText="1"/>
    </xf>
    <xf numFmtId="0" fontId="24" fillId="2" borderId="55" xfId="37" applyFont="1" applyFill="1" applyBorder="1" applyAlignment="1">
      <alignment horizontal="center" vertical="center"/>
    </xf>
    <xf numFmtId="10" fontId="24" fillId="7" borderId="55" xfId="31" applyNumberFormat="1" applyFont="1" applyFill="1" applyBorder="1" applyAlignment="1" applyProtection="1">
      <alignment vertical="center"/>
    </xf>
    <xf numFmtId="0" fontId="25" fillId="13" borderId="54" xfId="37" applyFont="1" applyFill="1" applyBorder="1" applyAlignment="1">
      <alignment horizontal="center" vertical="center" wrapText="1"/>
    </xf>
    <xf numFmtId="0" fontId="11" fillId="13" borderId="44" xfId="37" applyFont="1" applyFill="1" applyBorder="1" applyAlignment="1">
      <alignment horizontal="center" vertical="center" wrapText="1"/>
    </xf>
    <xf numFmtId="0" fontId="28" fillId="13" borderId="41" xfId="37" applyFont="1" applyFill="1" applyBorder="1" applyAlignment="1">
      <alignment horizontal="left" vertical="center" wrapText="1" indent="3"/>
    </xf>
    <xf numFmtId="0" fontId="25" fillId="2" borderId="55" xfId="37" applyFont="1" applyFill="1" applyBorder="1" applyAlignment="1">
      <alignment horizontal="center" vertical="center" wrapText="1"/>
    </xf>
    <xf numFmtId="0" fontId="28" fillId="2" borderId="56" xfId="37" applyFont="1" applyFill="1" applyBorder="1" applyAlignment="1">
      <alignment horizontal="left" vertical="center" wrapText="1" indent="3"/>
    </xf>
    <xf numFmtId="0" fontId="11" fillId="2" borderId="57" xfId="37" applyFont="1" applyFill="1" applyBorder="1" applyAlignment="1">
      <alignment horizontal="center" vertical="center" wrapText="1"/>
    </xf>
    <xf numFmtId="3" fontId="11" fillId="9" borderId="55" xfId="37" applyNumberFormat="1" applyFont="1" applyFill="1" applyBorder="1" applyAlignment="1" applyProtection="1">
      <alignment vertical="center" wrapText="1"/>
      <protection locked="0"/>
    </xf>
    <xf numFmtId="4" fontId="11" fillId="9" borderId="54" xfId="37" applyNumberFormat="1" applyFont="1" applyFill="1" applyBorder="1" applyAlignment="1" applyProtection="1">
      <alignment vertical="center" wrapText="1"/>
      <protection locked="0"/>
    </xf>
    <xf numFmtId="0" fontId="0" fillId="2" borderId="56" xfId="0" applyFill="1" applyBorder="1" applyAlignment="1">
      <alignment vertical="center" wrapText="1"/>
    </xf>
    <xf numFmtId="0" fontId="0" fillId="0" borderId="42" xfId="0" applyBorder="1" applyAlignment="1">
      <alignment horizontal="right"/>
    </xf>
    <xf numFmtId="0" fontId="51" fillId="0" borderId="42" xfId="36" applyFont="1" applyBorder="1" applyAlignment="1">
      <alignment horizontal="right" vertical="center"/>
    </xf>
    <xf numFmtId="0" fontId="51" fillId="0" borderId="42" xfId="36" applyFont="1" applyBorder="1"/>
    <xf numFmtId="0" fontId="11" fillId="2" borderId="54" xfId="0" applyFont="1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/>
    </xf>
    <xf numFmtId="0" fontId="0" fillId="2" borderId="56" xfId="0" applyFill="1" applyBorder="1" applyAlignment="1">
      <alignment horizontal="left" vertical="center" wrapText="1"/>
    </xf>
    <xf numFmtId="0" fontId="7" fillId="2" borderId="57" xfId="37" applyFont="1" applyFill="1" applyBorder="1" applyAlignment="1">
      <alignment horizontal="center" vertical="center" wrapText="1"/>
    </xf>
    <xf numFmtId="0" fontId="72" fillId="4" borderId="55" xfId="36" applyFont="1" applyFill="1" applyBorder="1" applyAlignment="1">
      <alignment horizontal="center" vertical="center" wrapText="1"/>
    </xf>
    <xf numFmtId="3" fontId="11" fillId="7" borderId="16" xfId="37" applyNumberFormat="1" applyFont="1" applyFill="1" applyBorder="1" applyAlignment="1">
      <alignment vertical="center" wrapText="1"/>
    </xf>
    <xf numFmtId="0" fontId="73" fillId="23" borderId="16" xfId="0" applyFont="1" applyFill="1" applyBorder="1" applyAlignment="1">
      <alignment horizontal="center" vertical="center"/>
    </xf>
    <xf numFmtId="0" fontId="72" fillId="21" borderId="16" xfId="37" quotePrefix="1" applyFont="1" applyFill="1" applyBorder="1" applyAlignment="1">
      <alignment horizontal="center" vertical="center" wrapText="1"/>
    </xf>
    <xf numFmtId="0" fontId="72" fillId="21" borderId="12" xfId="37" quotePrefix="1" applyFont="1" applyFill="1" applyBorder="1" applyAlignment="1">
      <alignment horizontal="center" vertical="center" wrapText="1"/>
    </xf>
    <xf numFmtId="0" fontId="23" fillId="2" borderId="54" xfId="0" applyFont="1" applyFill="1" applyBorder="1" applyAlignment="1">
      <alignment horizontal="center" vertical="center"/>
    </xf>
    <xf numFmtId="0" fontId="41" fillId="2" borderId="56" xfId="40" applyFont="1" applyFill="1" applyBorder="1" applyAlignment="1">
      <alignment horizontal="left" vertical="center" wrapText="1" indent="2"/>
    </xf>
    <xf numFmtId="169" fontId="11" fillId="7" borderId="16" xfId="37" applyNumberFormat="1" applyFont="1" applyFill="1" applyBorder="1" applyAlignment="1">
      <alignment horizontal="right" vertical="center" wrapText="1"/>
    </xf>
    <xf numFmtId="169" fontId="23" fillId="9" borderId="55" xfId="30" applyNumberFormat="1" applyFont="1" applyFill="1" applyBorder="1" applyAlignment="1" applyProtection="1">
      <alignment horizontal="right" vertical="center" wrapText="1"/>
      <protection locked="0"/>
    </xf>
    <xf numFmtId="0" fontId="0" fillId="2" borderId="44" xfId="0" applyFill="1" applyBorder="1" applyAlignment="1">
      <alignment horizontal="center" vertical="center"/>
    </xf>
    <xf numFmtId="0" fontId="11" fillId="2" borderId="44" xfId="40" applyFont="1" applyFill="1" applyBorder="1" applyAlignment="1">
      <alignment horizontal="center" vertical="center" wrapText="1"/>
    </xf>
    <xf numFmtId="0" fontId="11" fillId="2" borderId="57" xfId="40" applyFont="1" applyFill="1" applyBorder="1" applyAlignment="1">
      <alignment horizontal="center" vertical="center" wrapText="1"/>
    </xf>
    <xf numFmtId="0" fontId="23" fillId="2" borderId="54" xfId="0" applyFont="1" applyFill="1" applyBorder="1" applyAlignment="1">
      <alignment horizontal="center" vertical="center" wrapText="1"/>
    </xf>
    <xf numFmtId="49" fontId="11" fillId="9" borderId="43" xfId="37" applyNumberFormat="1" applyFont="1" applyFill="1" applyBorder="1" applyAlignment="1" applyProtection="1">
      <alignment horizontal="right" vertical="center" wrapText="1"/>
      <protection locked="0"/>
    </xf>
    <xf numFmtId="0" fontId="4" fillId="2" borderId="54" xfId="0" applyFont="1" applyFill="1" applyBorder="1" applyAlignment="1">
      <alignment horizontal="center" vertical="center"/>
    </xf>
    <xf numFmtId="0" fontId="11" fillId="2" borderId="57" xfId="0" applyFont="1" applyFill="1" applyBorder="1" applyAlignment="1">
      <alignment horizontal="center" vertical="center"/>
    </xf>
    <xf numFmtId="49" fontId="11" fillId="9" borderId="37" xfId="36" applyNumberFormat="1" applyFont="1" applyFill="1" applyBorder="1" applyAlignment="1" applyProtection="1">
      <alignment horizontal="right" vertical="center" wrapText="1"/>
      <protection locked="0"/>
    </xf>
    <xf numFmtId="0" fontId="7" fillId="2" borderId="44" xfId="0" applyFont="1" applyFill="1" applyBorder="1" applyAlignment="1">
      <alignment horizontal="center" vertical="center"/>
    </xf>
    <xf numFmtId="0" fontId="7" fillId="2" borderId="57" xfId="0" applyFont="1" applyFill="1" applyBorder="1" applyAlignment="1">
      <alignment horizontal="center" vertical="center"/>
    </xf>
    <xf numFmtId="0" fontId="23" fillId="2" borderId="55" xfId="0" applyFont="1" applyFill="1" applyBorder="1" applyAlignment="1">
      <alignment horizontal="center" vertical="center"/>
    </xf>
    <xf numFmtId="0" fontId="1" fillId="2" borderId="56" xfId="0" applyFont="1" applyFill="1" applyBorder="1" applyAlignment="1">
      <alignment horizontal="left" vertical="center" wrapText="1" indent="2"/>
    </xf>
    <xf numFmtId="3" fontId="11" fillId="9" borderId="55" xfId="37" applyNumberFormat="1" applyFont="1" applyFill="1" applyBorder="1" applyAlignment="1" applyProtection="1">
      <alignment horizontal="right" vertical="center" wrapText="1"/>
      <protection locked="0"/>
    </xf>
    <xf numFmtId="0" fontId="85" fillId="8" borderId="19" xfId="37" applyFont="1" applyFill="1" applyBorder="1" applyAlignment="1">
      <alignment horizontal="center" vertical="center" wrapText="1"/>
    </xf>
    <xf numFmtId="0" fontId="85" fillId="6" borderId="65" xfId="37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10" fontId="0" fillId="0" borderId="0" xfId="31" applyNumberFormat="1" applyFont="1" applyAlignment="1" applyProtection="1">
      <alignment horizontal="left"/>
    </xf>
    <xf numFmtId="173" fontId="0" fillId="0" borderId="0" xfId="31" applyNumberFormat="1" applyFont="1" applyAlignment="1" applyProtection="1">
      <alignment horizontal="left"/>
    </xf>
    <xf numFmtId="174" fontId="0" fillId="0" borderId="0" xfId="31" applyNumberFormat="1" applyFont="1" applyAlignment="1" applyProtection="1">
      <alignment horizontal="left"/>
    </xf>
    <xf numFmtId="0" fontId="0" fillId="0" borderId="0" xfId="0" quotePrefix="1" applyAlignment="1">
      <alignment horizontal="left"/>
    </xf>
    <xf numFmtId="174" fontId="0" fillId="0" borderId="0" xfId="0" applyNumberFormat="1" applyAlignment="1">
      <alignment horizontal="left"/>
    </xf>
    <xf numFmtId="49" fontId="0" fillId="7" borderId="13" xfId="31" applyNumberFormat="1" applyFont="1" applyFill="1" applyBorder="1" applyAlignment="1" applyProtection="1">
      <alignment horizontal="right" vertical="center"/>
    </xf>
    <xf numFmtId="0" fontId="68" fillId="0" borderId="0" xfId="0" applyFont="1" applyAlignment="1">
      <alignment vertical="top" wrapText="1"/>
    </xf>
    <xf numFmtId="4" fontId="26" fillId="7" borderId="44" xfId="37" applyNumberFormat="1" applyFont="1" applyFill="1" applyBorder="1" applyAlignment="1">
      <alignment horizontal="right" vertical="center" wrapText="1"/>
    </xf>
    <xf numFmtId="172" fontId="26" fillId="7" borderId="44" xfId="31" applyNumberFormat="1" applyFont="1" applyFill="1" applyBorder="1" applyAlignment="1" applyProtection="1">
      <alignment horizontal="right" vertical="center" wrapText="1"/>
    </xf>
    <xf numFmtId="0" fontId="68" fillId="0" borderId="0" xfId="0" applyFont="1" applyAlignment="1">
      <alignment vertical="center"/>
    </xf>
    <xf numFmtId="49" fontId="2" fillId="7" borderId="44" xfId="31" applyNumberFormat="1" applyFont="1" applyFill="1" applyBorder="1" applyAlignment="1" applyProtection="1">
      <alignment horizontal="right" vertical="center"/>
    </xf>
    <xf numFmtId="4" fontId="2" fillId="11" borderId="44" xfId="0" applyNumberFormat="1" applyFont="1" applyFill="1" applyBorder="1" applyAlignment="1">
      <alignment horizontal="right" vertical="center"/>
    </xf>
    <xf numFmtId="2" fontId="0" fillId="7" borderId="44" xfId="0" applyNumberFormat="1" applyFill="1" applyBorder="1" applyAlignment="1">
      <alignment vertical="center"/>
    </xf>
    <xf numFmtId="0" fontId="0" fillId="11" borderId="57" xfId="0" applyFill="1" applyBorder="1"/>
    <xf numFmtId="49" fontId="0" fillId="7" borderId="15" xfId="31" applyNumberFormat="1" applyFont="1" applyFill="1" applyBorder="1" applyAlignment="1" applyProtection="1">
      <alignment horizontal="right" vertical="center"/>
    </xf>
    <xf numFmtId="0" fontId="2" fillId="11" borderId="57" xfId="0" applyFont="1" applyFill="1" applyBorder="1" applyAlignment="1">
      <alignment horizontal="right" vertical="center"/>
    </xf>
    <xf numFmtId="49" fontId="0" fillId="7" borderId="15" xfId="0" applyNumberFormat="1" applyFill="1" applyBorder="1" applyAlignment="1">
      <alignment horizontal="right" vertical="center"/>
    </xf>
    <xf numFmtId="4" fontId="0" fillId="7" borderId="43" xfId="0" applyNumberFormat="1" applyFill="1" applyBorder="1" applyAlignment="1">
      <alignment horizontal="right" vertical="center"/>
    </xf>
    <xf numFmtId="0" fontId="2" fillId="7" borderId="43" xfId="0" applyFont="1" applyFill="1" applyBorder="1" applyAlignment="1">
      <alignment horizontal="right" vertical="center"/>
    </xf>
    <xf numFmtId="2" fontId="0" fillId="7" borderId="43" xfId="0" applyNumberFormat="1" applyFill="1" applyBorder="1" applyAlignment="1">
      <alignment vertical="center"/>
    </xf>
    <xf numFmtId="172" fontId="0" fillId="7" borderId="43" xfId="31" applyNumberFormat="1" applyFont="1" applyFill="1" applyBorder="1" applyAlignment="1" applyProtection="1">
      <alignment vertical="center"/>
    </xf>
    <xf numFmtId="49" fontId="0" fillId="7" borderId="27" xfId="0" applyNumberFormat="1" applyFill="1" applyBorder="1" applyAlignment="1">
      <alignment horizontal="right" vertical="center"/>
    </xf>
    <xf numFmtId="4" fontId="0" fillId="7" borderId="43" xfId="31" applyNumberFormat="1" applyFont="1" applyFill="1" applyBorder="1" applyAlignment="1" applyProtection="1">
      <alignment horizontal="right" vertical="center"/>
    </xf>
    <xf numFmtId="172" fontId="0" fillId="7" borderId="43" xfId="31" applyNumberFormat="1" applyFont="1" applyFill="1" applyBorder="1" applyAlignment="1" applyProtection="1">
      <alignment horizontal="right" vertical="center"/>
    </xf>
    <xf numFmtId="49" fontId="2" fillId="11" borderId="27" xfId="0" applyNumberFormat="1" applyFont="1" applyFill="1" applyBorder="1" applyAlignment="1">
      <alignment horizontal="right" vertical="center"/>
    </xf>
    <xf numFmtId="49" fontId="0" fillId="7" borderId="27" xfId="31" applyNumberFormat="1" applyFont="1" applyFill="1" applyBorder="1" applyAlignment="1" applyProtection="1">
      <alignment horizontal="right" vertical="center"/>
    </xf>
    <xf numFmtId="173" fontId="0" fillId="7" borderId="43" xfId="31" applyNumberFormat="1" applyFont="1" applyFill="1" applyBorder="1" applyAlignment="1" applyProtection="1">
      <alignment horizontal="right" vertical="center"/>
    </xf>
    <xf numFmtId="10" fontId="0" fillId="7" borderId="43" xfId="31" quotePrefix="1" applyNumberFormat="1" applyFont="1" applyFill="1" applyBorder="1" applyAlignment="1" applyProtection="1">
      <alignment horizontal="right" vertical="center"/>
    </xf>
    <xf numFmtId="10" fontId="0" fillId="7" borderId="43" xfId="31" applyNumberFormat="1" applyFont="1" applyFill="1" applyBorder="1" applyAlignment="1" applyProtection="1">
      <alignment horizontal="right" vertical="center"/>
    </xf>
    <xf numFmtId="49" fontId="0" fillId="7" borderId="37" xfId="31" applyNumberFormat="1" applyFont="1" applyFill="1" applyBorder="1" applyAlignment="1" applyProtection="1">
      <alignment horizontal="right" vertical="center"/>
    </xf>
    <xf numFmtId="2" fontId="0" fillId="17" borderId="54" xfId="0" applyNumberFormat="1" applyFill="1" applyBorder="1" applyAlignment="1">
      <alignment vertical="center"/>
    </xf>
    <xf numFmtId="172" fontId="0" fillId="17" borderId="54" xfId="31" applyNumberFormat="1" applyFont="1" applyFill="1" applyBorder="1" applyAlignment="1" applyProtection="1">
      <alignment vertical="center"/>
    </xf>
    <xf numFmtId="10" fontId="2" fillId="7" borderId="44" xfId="31" applyNumberFormat="1" applyFont="1" applyFill="1" applyBorder="1" applyAlignment="1" applyProtection="1">
      <alignment horizontal="right" vertical="center"/>
    </xf>
    <xf numFmtId="167" fontId="80" fillId="2" borderId="41" xfId="7" applyFont="1" applyFill="1" applyBorder="1" applyAlignment="1">
      <alignment horizontal="center" vertical="center" wrapText="1"/>
    </xf>
    <xf numFmtId="0" fontId="24" fillId="10" borderId="64" xfId="37" applyFont="1" applyFill="1" applyBorder="1" applyAlignment="1">
      <alignment horizontal="center" vertical="center" wrapText="1"/>
    </xf>
    <xf numFmtId="0" fontId="24" fillId="10" borderId="68" xfId="37" applyFont="1" applyFill="1" applyBorder="1" applyAlignment="1">
      <alignment horizontal="center" vertical="center" wrapText="1"/>
    </xf>
    <xf numFmtId="0" fontId="24" fillId="6" borderId="21" xfId="37" applyFont="1" applyFill="1" applyBorder="1" applyAlignment="1">
      <alignment horizontal="center" vertical="center" wrapText="1"/>
    </xf>
    <xf numFmtId="0" fontId="7" fillId="2" borderId="63" xfId="37" applyFont="1" applyFill="1" applyBorder="1" applyAlignment="1">
      <alignment horizontal="center" vertical="center" wrapText="1"/>
    </xf>
    <xf numFmtId="0" fontId="27" fillId="0" borderId="69" xfId="37" applyFont="1" applyBorder="1" applyAlignment="1">
      <alignment horizontal="center" vertical="center" wrapText="1"/>
    </xf>
    <xf numFmtId="0" fontId="27" fillId="0" borderId="70" xfId="37" applyFont="1" applyBorder="1" applyAlignment="1">
      <alignment horizontal="center" vertical="center" wrapText="1"/>
    </xf>
    <xf numFmtId="0" fontId="27" fillId="0" borderId="71" xfId="37" applyFont="1" applyBorder="1" applyAlignment="1">
      <alignment horizontal="center" vertical="center" wrapText="1"/>
    </xf>
    <xf numFmtId="3" fontId="11" fillId="9" borderId="15" xfId="37" applyNumberFormat="1" applyFont="1" applyFill="1" applyBorder="1" applyAlignment="1" applyProtection="1">
      <alignment vertical="center" wrapText="1"/>
      <protection locked="0"/>
    </xf>
    <xf numFmtId="3" fontId="11" fillId="9" borderId="44" xfId="37" applyNumberFormat="1" applyFont="1" applyFill="1" applyBorder="1" applyAlignment="1" applyProtection="1">
      <alignment vertical="center" wrapText="1"/>
      <protection locked="0"/>
    </xf>
    <xf numFmtId="49" fontId="11" fillId="9" borderId="57" xfId="36" applyNumberFormat="1" applyFont="1" applyFill="1" applyBorder="1" applyAlignment="1" applyProtection="1">
      <alignment horizontal="right" vertical="center" wrapText="1"/>
      <protection locked="0"/>
    </xf>
    <xf numFmtId="0" fontId="11" fillId="2" borderId="26" xfId="37" applyFont="1" applyFill="1" applyBorder="1" applyAlignment="1">
      <alignment horizontal="center" vertical="center" wrapText="1"/>
    </xf>
    <xf numFmtId="0" fontId="11" fillId="2" borderId="63" xfId="37" applyFont="1" applyFill="1" applyBorder="1" applyAlignment="1">
      <alignment horizontal="center" vertical="center" wrapText="1"/>
    </xf>
    <xf numFmtId="0" fontId="31" fillId="0" borderId="72" xfId="37" applyFont="1" applyBorder="1" applyAlignment="1">
      <alignment horizontal="center" vertical="center" wrapText="1"/>
    </xf>
    <xf numFmtId="0" fontId="31" fillId="0" borderId="73" xfId="37" applyFont="1" applyBorder="1" applyAlignment="1">
      <alignment horizontal="center" vertical="center" wrapText="1"/>
    </xf>
    <xf numFmtId="3" fontId="11" fillId="7" borderId="15" xfId="37" applyNumberFormat="1" applyFont="1" applyFill="1" applyBorder="1" applyAlignment="1">
      <alignment vertical="center" wrapText="1"/>
    </xf>
    <xf numFmtId="3" fontId="25" fillId="7" borderId="54" xfId="31" applyNumberFormat="1" applyFont="1" applyFill="1" applyBorder="1" applyAlignment="1" applyProtection="1">
      <alignment vertical="center"/>
    </xf>
    <xf numFmtId="3" fontId="25" fillId="7" borderId="44" xfId="31" applyNumberFormat="1" applyFont="1" applyFill="1" applyBorder="1" applyAlignment="1" applyProtection="1">
      <alignment vertical="center"/>
    </xf>
    <xf numFmtId="3" fontId="11" fillId="7" borderId="44" xfId="37" applyNumberFormat="1" applyFont="1" applyFill="1" applyBorder="1" applyAlignment="1">
      <alignment vertical="center" wrapText="1"/>
    </xf>
    <xf numFmtId="3" fontId="11" fillId="9" borderId="57" xfId="37" applyNumberFormat="1" applyFont="1" applyFill="1" applyBorder="1" applyAlignment="1" applyProtection="1">
      <alignment vertical="center" wrapText="1"/>
      <protection locked="0"/>
    </xf>
    <xf numFmtId="0" fontId="11" fillId="2" borderId="66" xfId="37" applyFont="1" applyFill="1" applyBorder="1" applyAlignment="1">
      <alignment horizontal="center" vertical="center" wrapText="1"/>
    </xf>
    <xf numFmtId="0" fontId="11" fillId="2" borderId="24" xfId="37" applyFont="1" applyFill="1" applyBorder="1" applyAlignment="1">
      <alignment horizontal="center" vertical="center" wrapText="1"/>
    </xf>
    <xf numFmtId="0" fontId="27" fillId="0" borderId="69" xfId="0" applyFont="1" applyBorder="1" applyAlignment="1">
      <alignment horizontal="center" vertical="center" wrapText="1"/>
    </xf>
    <xf numFmtId="0" fontId="27" fillId="0" borderId="70" xfId="0" applyFont="1" applyBorder="1" applyAlignment="1">
      <alignment horizontal="center" vertical="center" wrapText="1"/>
    </xf>
    <xf numFmtId="0" fontId="27" fillId="0" borderId="72" xfId="37" applyFont="1" applyBorder="1" applyAlignment="1">
      <alignment horizontal="center" vertical="center" wrapText="1"/>
    </xf>
    <xf numFmtId="0" fontId="27" fillId="0" borderId="74" xfId="0" applyFont="1" applyBorder="1" applyAlignment="1">
      <alignment horizontal="center" vertical="center" wrapText="1"/>
    </xf>
    <xf numFmtId="0" fontId="27" fillId="4" borderId="70" xfId="0" applyFont="1" applyFill="1" applyBorder="1" applyAlignment="1">
      <alignment horizontal="center" vertical="center" wrapText="1"/>
    </xf>
    <xf numFmtId="3" fontId="11" fillId="9" borderId="44" xfId="37" applyNumberFormat="1" applyFont="1" applyFill="1" applyBorder="1" applyAlignment="1" applyProtection="1">
      <alignment horizontal="right" vertical="center" wrapText="1"/>
      <protection locked="0"/>
    </xf>
    <xf numFmtId="4" fontId="11" fillId="9" borderId="44" xfId="37" applyNumberFormat="1" applyFont="1" applyFill="1" applyBorder="1" applyAlignment="1" applyProtection="1">
      <alignment vertical="center" wrapText="1"/>
      <protection locked="0"/>
    </xf>
    <xf numFmtId="3" fontId="11" fillId="7" borderId="44" xfId="37" applyNumberFormat="1" applyFont="1" applyFill="1" applyBorder="1" applyAlignment="1">
      <alignment horizontal="right" vertical="center" wrapText="1"/>
    </xf>
    <xf numFmtId="0" fontId="72" fillId="0" borderId="15" xfId="36" applyFont="1" applyBorder="1" applyAlignment="1">
      <alignment horizontal="center" vertical="center" wrapText="1"/>
    </xf>
    <xf numFmtId="0" fontId="72" fillId="22" borderId="44" xfId="36" applyFont="1" applyFill="1" applyBorder="1" applyAlignment="1">
      <alignment horizontal="center" vertical="center" wrapText="1"/>
    </xf>
    <xf numFmtId="0" fontId="72" fillId="21" borderId="44" xfId="36" applyFont="1" applyFill="1" applyBorder="1" applyAlignment="1">
      <alignment horizontal="center" vertical="center" wrapText="1"/>
    </xf>
    <xf numFmtId="0" fontId="72" fillId="0" borderId="57" xfId="36" applyFont="1" applyBorder="1" applyAlignment="1">
      <alignment horizontal="center" vertical="center" wrapText="1"/>
    </xf>
    <xf numFmtId="0" fontId="72" fillId="21" borderId="15" xfId="36" applyFont="1" applyFill="1" applyBorder="1" applyAlignment="1">
      <alignment horizontal="center" vertical="center" wrapText="1"/>
    </xf>
    <xf numFmtId="0" fontId="72" fillId="21" borderId="44" xfId="37" applyFont="1" applyFill="1" applyBorder="1" applyAlignment="1">
      <alignment horizontal="center" vertical="center" wrapText="1"/>
    </xf>
    <xf numFmtId="0" fontId="73" fillId="21" borderId="57" xfId="37" applyFont="1" applyFill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53" fillId="0" borderId="57" xfId="0" applyFont="1" applyBorder="1" applyAlignment="1">
      <alignment horizontal="center" vertical="center"/>
    </xf>
    <xf numFmtId="0" fontId="24" fillId="2" borderId="21" xfId="37" applyFont="1" applyFill="1" applyBorder="1" applyAlignment="1">
      <alignment horizontal="center" vertical="center" wrapText="1"/>
    </xf>
    <xf numFmtId="0" fontId="73" fillId="21" borderId="44" xfId="37" applyFont="1" applyFill="1" applyBorder="1" applyAlignment="1">
      <alignment horizontal="center" vertical="center" wrapText="1"/>
    </xf>
    <xf numFmtId="0" fontId="72" fillId="21" borderId="15" xfId="37" quotePrefix="1" applyFont="1" applyFill="1" applyBorder="1" applyAlignment="1">
      <alignment horizontal="center" vertical="center" wrapText="1"/>
    </xf>
    <xf numFmtId="0" fontId="72" fillId="21" borderId="13" xfId="37" quotePrefix="1" applyFont="1" applyFill="1" applyBorder="1" applyAlignment="1">
      <alignment horizontal="center" vertical="center" wrapText="1"/>
    </xf>
    <xf numFmtId="0" fontId="31" fillId="0" borderId="69" xfId="37" applyFont="1" applyBorder="1" applyAlignment="1">
      <alignment horizontal="center" vertical="center" wrapText="1"/>
    </xf>
    <xf numFmtId="0" fontId="31" fillId="0" borderId="70" xfId="37" applyFont="1" applyBorder="1" applyAlignment="1">
      <alignment horizontal="center" vertical="center" wrapText="1"/>
    </xf>
    <xf numFmtId="0" fontId="11" fillId="0" borderId="70" xfId="37" applyFont="1" applyBorder="1" applyAlignment="1">
      <alignment horizontal="center" vertical="center" wrapText="1"/>
    </xf>
    <xf numFmtId="0" fontId="31" fillId="0" borderId="71" xfId="37" applyFont="1" applyBorder="1" applyAlignment="1">
      <alignment horizontal="center" vertical="center" wrapText="1"/>
    </xf>
    <xf numFmtId="3" fontId="11" fillId="7" borderId="15" xfId="37" applyNumberFormat="1" applyFont="1" applyFill="1" applyBorder="1" applyAlignment="1">
      <alignment horizontal="right" vertical="center" wrapText="1"/>
    </xf>
    <xf numFmtId="3" fontId="11" fillId="9" borderId="57" xfId="37" applyNumberFormat="1" applyFont="1" applyFill="1" applyBorder="1" applyAlignment="1" applyProtection="1">
      <alignment horizontal="right" vertical="center" wrapText="1"/>
      <protection locked="0"/>
    </xf>
    <xf numFmtId="0" fontId="27" fillId="0" borderId="70" xfId="0" applyFont="1" applyBorder="1"/>
    <xf numFmtId="0" fontId="27" fillId="0" borderId="71" xfId="0" applyFont="1" applyBorder="1"/>
    <xf numFmtId="169" fontId="11" fillId="7" borderId="15" xfId="37" applyNumberFormat="1" applyFont="1" applyFill="1" applyBorder="1" applyAlignment="1">
      <alignment horizontal="right" vertical="center" wrapText="1"/>
    </xf>
    <xf numFmtId="169" fontId="23" fillId="9" borderId="44" xfId="30" applyNumberFormat="1" applyFont="1" applyFill="1" applyBorder="1" applyAlignment="1" applyProtection="1">
      <alignment horizontal="right" vertical="center" wrapText="1"/>
      <protection locked="0"/>
    </xf>
    <xf numFmtId="169" fontId="23" fillId="7" borderId="44" xfId="30" applyNumberFormat="1" applyFont="1" applyFill="1" applyBorder="1" applyAlignment="1" applyProtection="1">
      <alignment horizontal="right" vertical="center" wrapText="1"/>
    </xf>
    <xf numFmtId="169" fontId="23" fillId="9" borderId="57" xfId="30" applyNumberFormat="1" applyFont="1" applyFill="1" applyBorder="1" applyAlignment="1" applyProtection="1">
      <alignment horizontal="right" vertical="center" wrapText="1"/>
      <protection locked="0"/>
    </xf>
    <xf numFmtId="169" fontId="23" fillId="9" borderId="15" xfId="30" applyNumberFormat="1" applyFont="1" applyFill="1" applyBorder="1" applyAlignment="1" applyProtection="1">
      <alignment horizontal="right" vertical="center" wrapText="1"/>
      <protection locked="0"/>
    </xf>
    <xf numFmtId="172" fontId="29" fillId="7" borderId="44" xfId="36" applyNumberFormat="1" applyFont="1" applyFill="1" applyBorder="1" applyAlignment="1">
      <alignment horizontal="right" vertical="center" wrapText="1"/>
    </xf>
    <xf numFmtId="49" fontId="26" fillId="9" borderId="44" xfId="36" applyNumberFormat="1" applyFont="1" applyFill="1" applyBorder="1" applyAlignment="1" applyProtection="1">
      <alignment horizontal="right" vertical="center" wrapText="1"/>
      <protection locked="0"/>
    </xf>
    <xf numFmtId="49" fontId="11" fillId="9" borderId="44" xfId="36" applyNumberFormat="1" applyFont="1" applyFill="1" applyBorder="1" applyAlignment="1" applyProtection="1">
      <alignment horizontal="right" vertical="center" wrapText="1"/>
      <protection locked="0"/>
    </xf>
    <xf numFmtId="3" fontId="26" fillId="7" borderId="44" xfId="37" applyNumberFormat="1" applyFont="1" applyFill="1" applyBorder="1" applyAlignment="1">
      <alignment horizontal="right" vertical="center" wrapText="1"/>
    </xf>
    <xf numFmtId="172" fontId="26" fillId="7" borderId="57" xfId="37" applyNumberFormat="1" applyFont="1" applyFill="1" applyBorder="1" applyAlignment="1">
      <alignment horizontal="right" vertical="center" wrapText="1"/>
    </xf>
    <xf numFmtId="0" fontId="85" fillId="6" borderId="21" xfId="37" applyFont="1" applyFill="1" applyBorder="1" applyAlignment="1">
      <alignment horizontal="center" vertical="center" wrapText="1"/>
    </xf>
    <xf numFmtId="0" fontId="31" fillId="0" borderId="70" xfId="0" applyFont="1" applyBorder="1"/>
    <xf numFmtId="0" fontId="27" fillId="0" borderId="70" xfId="0" applyFont="1" applyBorder="1" applyAlignment="1">
      <alignment horizontal="center" vertical="center"/>
    </xf>
    <xf numFmtId="49" fontId="11" fillId="9" borderId="15" xfId="36" applyNumberFormat="1" applyFont="1" applyFill="1" applyBorder="1" applyAlignment="1" applyProtection="1">
      <alignment horizontal="right" vertical="center" wrapText="1"/>
      <protection locked="0"/>
    </xf>
    <xf numFmtId="49" fontId="11" fillId="9" borderId="44" xfId="37" applyNumberFormat="1" applyFont="1" applyFill="1" applyBorder="1" applyAlignment="1" applyProtection="1">
      <alignment horizontal="right" vertical="center" wrapText="1"/>
      <protection locked="0"/>
    </xf>
    <xf numFmtId="0" fontId="47" fillId="0" borderId="69" xfId="36" applyFont="1" applyBorder="1" applyAlignment="1">
      <alignment horizontal="center" vertical="center" wrapText="1"/>
    </xf>
    <xf numFmtId="0" fontId="47" fillId="0" borderId="70" xfId="36" applyFont="1" applyBorder="1" applyAlignment="1">
      <alignment horizontal="center" vertical="center" wrapText="1"/>
    </xf>
    <xf numFmtId="3" fontId="23" fillId="12" borderId="44" xfId="30" applyNumberFormat="1" applyFont="1" applyFill="1" applyBorder="1" applyAlignment="1" applyProtection="1">
      <alignment horizontal="right" vertical="center" wrapText="1"/>
      <protection locked="0"/>
    </xf>
    <xf numFmtId="49" fontId="26" fillId="7" borderId="44" xfId="36" quotePrefix="1" applyNumberFormat="1" applyFont="1" applyFill="1" applyBorder="1" applyAlignment="1">
      <alignment horizontal="right" vertical="center" wrapText="1"/>
    </xf>
    <xf numFmtId="0" fontId="11" fillId="2" borderId="54" xfId="36" applyFont="1" applyFill="1" applyBorder="1" applyAlignment="1">
      <alignment horizontal="center" vertical="center" wrapText="1"/>
    </xf>
    <xf numFmtId="0" fontId="2" fillId="2" borderId="54" xfId="0" applyFont="1" applyFill="1" applyBorder="1" applyAlignment="1">
      <alignment horizontal="center" vertical="center"/>
    </xf>
    <xf numFmtId="169" fontId="23" fillId="9" borderId="69" xfId="30" applyNumberFormat="1" applyFont="1" applyFill="1" applyBorder="1" applyAlignment="1" applyProtection="1">
      <alignment horizontal="right" vertical="center" wrapText="1"/>
      <protection locked="0"/>
    </xf>
    <xf numFmtId="169" fontId="23" fillId="9" borderId="72" xfId="30" applyNumberFormat="1" applyFont="1" applyFill="1" applyBorder="1" applyAlignment="1" applyProtection="1">
      <alignment horizontal="right" vertical="center" wrapText="1"/>
      <protection locked="0"/>
    </xf>
    <xf numFmtId="170" fontId="26" fillId="7" borderId="54" xfId="37" applyNumberFormat="1" applyFont="1" applyFill="1" applyBorder="1" applyAlignment="1">
      <alignment horizontal="right" vertical="center" wrapText="1"/>
    </xf>
    <xf numFmtId="170" fontId="26" fillId="7" borderId="70" xfId="37" applyNumberFormat="1" applyFont="1" applyFill="1" applyBorder="1" applyAlignment="1">
      <alignment horizontal="right" vertical="center" wrapText="1"/>
    </xf>
    <xf numFmtId="172" fontId="26" fillId="7" borderId="70" xfId="37" applyNumberFormat="1" applyFont="1" applyFill="1" applyBorder="1" applyAlignment="1">
      <alignment horizontal="right" vertical="center" wrapText="1"/>
    </xf>
    <xf numFmtId="0" fontId="26" fillId="7" borderId="70" xfId="37" applyFont="1" applyFill="1" applyBorder="1" applyAlignment="1">
      <alignment horizontal="right" vertical="center" wrapText="1"/>
    </xf>
    <xf numFmtId="4" fontId="23" fillId="9" borderId="72" xfId="30" applyNumberFormat="1" applyFont="1" applyFill="1" applyBorder="1" applyAlignment="1" applyProtection="1">
      <alignment horizontal="right" vertical="center" wrapText="1"/>
      <protection locked="0"/>
    </xf>
    <xf numFmtId="4" fontId="29" fillId="7" borderId="54" xfId="30" applyNumberFormat="1" applyFont="1" applyFill="1" applyBorder="1" applyAlignment="1" applyProtection="1">
      <alignment horizontal="right" vertical="center" wrapText="1"/>
    </xf>
    <xf numFmtId="4" fontId="29" fillId="7" borderId="70" xfId="30" applyNumberFormat="1" applyFont="1" applyFill="1" applyBorder="1" applyAlignment="1" applyProtection="1">
      <alignment horizontal="right" vertical="center" wrapText="1"/>
    </xf>
    <xf numFmtId="2" fontId="26" fillId="7" borderId="55" xfId="37" applyNumberFormat="1" applyFont="1" applyFill="1" applyBorder="1" applyAlignment="1">
      <alignment horizontal="right" vertical="center" wrapText="1"/>
    </xf>
    <xf numFmtId="2" fontId="26" fillId="7" borderId="71" xfId="37" applyNumberFormat="1" applyFont="1" applyFill="1" applyBorder="1" applyAlignment="1">
      <alignment horizontal="right" vertical="center" wrapText="1"/>
    </xf>
    <xf numFmtId="0" fontId="26" fillId="2" borderId="15" xfId="37" applyFont="1" applyFill="1" applyBorder="1" applyAlignment="1">
      <alignment horizontal="center" vertical="center" wrapText="1"/>
    </xf>
    <xf numFmtId="49" fontId="29" fillId="12" borderId="44" xfId="30" applyNumberFormat="1" applyFont="1" applyFill="1" applyBorder="1" applyAlignment="1" applyProtection="1">
      <alignment horizontal="right" vertical="center" wrapText="1"/>
      <protection locked="0"/>
    </xf>
    <xf numFmtId="0" fontId="72" fillId="21" borderId="57" xfId="37" applyFont="1" applyFill="1" applyBorder="1" applyAlignment="1">
      <alignment horizontal="center" vertical="center" wrapText="1"/>
    </xf>
    <xf numFmtId="0" fontId="73" fillId="21" borderId="15" xfId="0" applyFont="1" applyFill="1" applyBorder="1"/>
    <xf numFmtId="0" fontId="73" fillId="21" borderId="44" xfId="0" applyFont="1" applyFill="1" applyBorder="1"/>
    <xf numFmtId="0" fontId="73" fillId="21" borderId="57" xfId="0" applyFont="1" applyFill="1" applyBorder="1"/>
    <xf numFmtId="0" fontId="72" fillId="21" borderId="59" xfId="37" applyFont="1" applyFill="1" applyBorder="1" applyAlignment="1">
      <alignment horizontal="center" vertical="center" wrapText="1"/>
    </xf>
    <xf numFmtId="0" fontId="73" fillId="21" borderId="15" xfId="37" applyFont="1" applyFill="1" applyBorder="1" applyAlignment="1">
      <alignment horizontal="center" vertical="center" wrapText="1"/>
    </xf>
    <xf numFmtId="0" fontId="72" fillId="4" borderId="44" xfId="36" applyFont="1" applyFill="1" applyBorder="1" applyAlignment="1">
      <alignment horizontal="center" vertical="center" wrapText="1"/>
    </xf>
    <xf numFmtId="0" fontId="72" fillId="4" borderId="57" xfId="36" applyFont="1" applyFill="1" applyBorder="1" applyAlignment="1">
      <alignment horizontal="center" vertical="center" wrapText="1"/>
    </xf>
    <xf numFmtId="0" fontId="73" fillId="21" borderId="13" xfId="0" applyFont="1" applyFill="1" applyBorder="1"/>
    <xf numFmtId="0" fontId="72" fillId="23" borderId="44" xfId="37" applyFont="1" applyFill="1" applyBorder="1" applyAlignment="1">
      <alignment horizontal="center" vertical="center" wrapText="1"/>
    </xf>
    <xf numFmtId="0" fontId="72" fillId="22" borderId="57" xfId="37" applyFont="1" applyFill="1" applyBorder="1" applyAlignment="1">
      <alignment horizontal="center" vertical="center" wrapText="1"/>
    </xf>
    <xf numFmtId="0" fontId="47" fillId="0" borderId="70" xfId="37" applyFont="1" applyBorder="1" applyAlignment="1">
      <alignment horizontal="center" vertical="center" wrapText="1"/>
    </xf>
    <xf numFmtId="3" fontId="11" fillId="9" borderId="15" xfId="37" applyNumberFormat="1" applyFont="1" applyFill="1" applyBorder="1" applyAlignment="1" applyProtection="1">
      <alignment horizontal="right" vertical="center" wrapText="1"/>
      <protection locked="0"/>
    </xf>
    <xf numFmtId="10" fontId="24" fillId="7" borderId="44" xfId="31" applyNumberFormat="1" applyFont="1" applyFill="1" applyBorder="1" applyAlignment="1" applyProtection="1">
      <alignment horizontal="right" vertical="center" wrapText="1"/>
    </xf>
    <xf numFmtId="10" fontId="26" fillId="7" borderId="44" xfId="31" applyNumberFormat="1" applyFont="1" applyFill="1" applyBorder="1" applyAlignment="1" applyProtection="1">
      <alignment horizontal="right" vertical="center" wrapText="1"/>
    </xf>
    <xf numFmtId="10" fontId="26" fillId="7" borderId="57" xfId="31" applyNumberFormat="1" applyFont="1" applyFill="1" applyBorder="1" applyAlignment="1" applyProtection="1">
      <alignment horizontal="right" vertical="center" wrapText="1"/>
    </xf>
    <xf numFmtId="0" fontId="24" fillId="2" borderId="44" xfId="37" applyFont="1" applyFill="1" applyBorder="1" applyAlignment="1">
      <alignment horizontal="center" vertical="center" wrapText="1"/>
    </xf>
    <xf numFmtId="0" fontId="29" fillId="2" borderId="54" xfId="0" applyFont="1" applyFill="1" applyBorder="1" applyAlignment="1">
      <alignment horizontal="center" vertical="center"/>
    </xf>
    <xf numFmtId="0" fontId="26" fillId="2" borderId="44" xfId="0" applyFont="1" applyFill="1" applyBorder="1" applyAlignment="1">
      <alignment horizontal="center" vertical="center" wrapText="1"/>
    </xf>
    <xf numFmtId="0" fontId="2" fillId="2" borderId="56" xfId="0" applyFont="1" applyFill="1" applyBorder="1" applyAlignment="1">
      <alignment vertical="center" wrapText="1"/>
    </xf>
    <xf numFmtId="0" fontId="26" fillId="2" borderId="57" xfId="0" applyFont="1" applyFill="1" applyBorder="1" applyAlignment="1">
      <alignment horizontal="center" vertical="center" wrapText="1"/>
    </xf>
    <xf numFmtId="0" fontId="27" fillId="4" borderId="70" xfId="37" applyFont="1" applyFill="1" applyBorder="1" applyAlignment="1">
      <alignment horizontal="center" vertical="center" wrapText="1"/>
    </xf>
    <xf numFmtId="172" fontId="26" fillId="7" borderId="44" xfId="37" applyNumberFormat="1" applyFont="1" applyFill="1" applyBorder="1" applyAlignment="1">
      <alignment horizontal="right" vertical="center" wrapText="1"/>
    </xf>
    <xf numFmtId="3" fontId="20" fillId="11" borderId="44" xfId="39" applyNumberFormat="1" applyFont="1" applyFill="1" applyBorder="1" applyAlignment="1" applyProtection="1">
      <alignment vertical="center" wrapText="1"/>
    </xf>
    <xf numFmtId="3" fontId="2" fillId="9" borderId="57" xfId="0" applyNumberFormat="1" applyFont="1" applyFill="1" applyBorder="1" applyAlignment="1" applyProtection="1">
      <alignment horizontal="right" vertical="center"/>
      <protection locked="0"/>
    </xf>
    <xf numFmtId="0" fontId="45" fillId="2" borderId="44" xfId="38" applyFont="1" applyFill="1" applyBorder="1" applyAlignment="1">
      <alignment horizontal="center" vertical="center" wrapText="1"/>
    </xf>
    <xf numFmtId="0" fontId="29" fillId="2" borderId="55" xfId="0" applyFont="1" applyFill="1" applyBorder="1" applyAlignment="1">
      <alignment horizontal="center" vertical="center"/>
    </xf>
    <xf numFmtId="0" fontId="54" fillId="20" borderId="21" xfId="7" applyNumberFormat="1" applyFont="1" applyFill="1" applyBorder="1" applyAlignment="1">
      <alignment horizontal="center" vertical="center" wrapText="1"/>
    </xf>
    <xf numFmtId="0" fontId="2" fillId="18" borderId="15" xfId="0" applyFont="1" applyFill="1" applyBorder="1" applyAlignment="1">
      <alignment horizontal="right" vertical="center"/>
    </xf>
    <xf numFmtId="49" fontId="2" fillId="18" borderId="44" xfId="30" applyNumberFormat="1" applyFont="1" applyFill="1" applyBorder="1" applyAlignment="1" applyProtection="1">
      <alignment horizontal="right" vertical="center"/>
    </xf>
    <xf numFmtId="4" fontId="0" fillId="17" borderId="44" xfId="31" applyNumberFormat="1" applyFont="1" applyFill="1" applyBorder="1" applyAlignment="1" applyProtection="1">
      <alignment horizontal="right" vertical="center"/>
    </xf>
    <xf numFmtId="0" fontId="26" fillId="17" borderId="54" xfId="37" applyFont="1" applyFill="1" applyBorder="1" applyAlignment="1">
      <alignment horizontal="right" vertical="center" wrapText="1"/>
    </xf>
    <xf numFmtId="0" fontId="26" fillId="17" borderId="44" xfId="37" applyFont="1" applyFill="1" applyBorder="1" applyAlignment="1">
      <alignment horizontal="right" vertical="center" wrapText="1"/>
    </xf>
    <xf numFmtId="4" fontId="2" fillId="17" borderId="54" xfId="30" applyNumberFormat="1" applyFont="1" applyFill="1" applyBorder="1" applyAlignment="1" applyProtection="1">
      <alignment horizontal="right" vertical="center"/>
    </xf>
    <xf numFmtId="4" fontId="2" fillId="17" borderId="44" xfId="30" applyNumberFormat="1" applyFont="1" applyFill="1" applyBorder="1" applyAlignment="1" applyProtection="1">
      <alignment horizontal="right" vertical="center"/>
    </xf>
    <xf numFmtId="49" fontId="2" fillId="18" borderId="54" xfId="0" applyNumberFormat="1" applyFont="1" applyFill="1" applyBorder="1" applyAlignment="1">
      <alignment horizontal="right" vertical="center"/>
    </xf>
    <xf numFmtId="49" fontId="26" fillId="18" borderId="57" xfId="36" applyNumberFormat="1" applyFont="1" applyFill="1" applyBorder="1" applyAlignment="1">
      <alignment horizontal="right" vertical="center" wrapText="1"/>
    </xf>
    <xf numFmtId="49" fontId="2" fillId="18" borderId="15" xfId="0" applyNumberFormat="1" applyFont="1" applyFill="1" applyBorder="1" applyAlignment="1">
      <alignment horizontal="right" vertical="center"/>
    </xf>
    <xf numFmtId="4" fontId="0" fillId="17" borderId="44" xfId="0" applyNumberFormat="1" applyFill="1" applyBorder="1" applyAlignment="1">
      <alignment horizontal="right" vertical="center"/>
    </xf>
    <xf numFmtId="0" fontId="2" fillId="17" borderId="54" xfId="0" applyFont="1" applyFill="1" applyBorder="1" applyAlignment="1">
      <alignment horizontal="right" vertical="center"/>
    </xf>
    <xf numFmtId="0" fontId="2" fillId="17" borderId="44" xfId="0" applyFont="1" applyFill="1" applyBorder="1" applyAlignment="1">
      <alignment horizontal="right" vertical="center"/>
    </xf>
    <xf numFmtId="49" fontId="2" fillId="18" borderId="44" xfId="31" applyNumberFormat="1" applyFont="1" applyFill="1" applyBorder="1" applyAlignment="1" applyProtection="1">
      <alignment horizontal="right" vertical="center"/>
    </xf>
    <xf numFmtId="10" fontId="0" fillId="17" borderId="44" xfId="31" applyNumberFormat="1" applyFont="1" applyFill="1" applyBorder="1" applyAlignment="1" applyProtection="1">
      <alignment horizontal="right" vertical="center"/>
    </xf>
    <xf numFmtId="0" fontId="24" fillId="17" borderId="54" xfId="37" applyFont="1" applyFill="1" applyBorder="1" applyAlignment="1">
      <alignment horizontal="right" vertical="center" wrapText="1"/>
    </xf>
    <xf numFmtId="0" fontId="24" fillId="17" borderId="44" xfId="37" applyFont="1" applyFill="1" applyBorder="1" applyAlignment="1">
      <alignment horizontal="right" vertical="center" wrapText="1"/>
    </xf>
    <xf numFmtId="10" fontId="2" fillId="17" borderId="54" xfId="0" applyNumberFormat="1" applyFont="1" applyFill="1" applyBorder="1" applyAlignment="1">
      <alignment vertical="center"/>
    </xf>
    <xf numFmtId="10" fontId="2" fillId="17" borderId="44" xfId="0" applyNumberFormat="1" applyFont="1" applyFill="1" applyBorder="1" applyAlignment="1">
      <alignment vertical="center"/>
    </xf>
    <xf numFmtId="49" fontId="2" fillId="18" borderId="44" xfId="0" applyNumberFormat="1" applyFont="1" applyFill="1" applyBorder="1" applyAlignment="1">
      <alignment horizontal="right" vertical="center"/>
    </xf>
    <xf numFmtId="2" fontId="0" fillId="17" borderId="44" xfId="0" applyNumberFormat="1" applyFill="1" applyBorder="1" applyAlignment="1">
      <alignment vertical="center"/>
    </xf>
    <xf numFmtId="172" fontId="0" fillId="17" borderId="44" xfId="31" applyNumberFormat="1" applyFont="1" applyFill="1" applyBorder="1" applyAlignment="1" applyProtection="1">
      <alignment vertical="center"/>
    </xf>
    <xf numFmtId="49" fontId="26" fillId="17" borderId="54" xfId="37" applyNumberFormat="1" applyFont="1" applyFill="1" applyBorder="1" applyAlignment="1">
      <alignment horizontal="right" vertical="center" wrapText="1"/>
    </xf>
    <xf numFmtId="49" fontId="26" fillId="17" borderId="44" xfId="37" applyNumberFormat="1" applyFont="1" applyFill="1" applyBorder="1" applyAlignment="1">
      <alignment horizontal="right" vertical="center" wrapText="1"/>
    </xf>
    <xf numFmtId="0" fontId="2" fillId="18" borderId="44" xfId="0" applyFont="1" applyFill="1" applyBorder="1" applyAlignment="1">
      <alignment horizontal="right" vertical="center"/>
    </xf>
    <xf numFmtId="10" fontId="2" fillId="17" borderId="54" xfId="31" applyNumberFormat="1" applyFont="1" applyFill="1" applyBorder="1" applyAlignment="1" applyProtection="1">
      <alignment horizontal="right" vertical="center"/>
    </xf>
    <xf numFmtId="10" fontId="2" fillId="17" borderId="44" xfId="31" applyNumberFormat="1" applyFont="1" applyFill="1" applyBorder="1" applyAlignment="1" applyProtection="1">
      <alignment horizontal="right" vertical="center"/>
    </xf>
    <xf numFmtId="49" fontId="0" fillId="18" borderId="54" xfId="0" applyNumberFormat="1" applyFill="1" applyBorder="1" applyAlignment="1">
      <alignment horizontal="right" vertical="center"/>
    </xf>
    <xf numFmtId="0" fontId="27" fillId="0" borderId="73" xfId="37" applyFont="1" applyBorder="1" applyAlignment="1">
      <alignment horizontal="center" vertical="center" wrapText="1"/>
    </xf>
    <xf numFmtId="0" fontId="11" fillId="2" borderId="76" xfId="37" applyFont="1" applyFill="1" applyBorder="1" applyAlignment="1">
      <alignment vertical="center" wrapText="1"/>
    </xf>
    <xf numFmtId="0" fontId="27" fillId="0" borderId="69" xfId="36" applyFont="1" applyBorder="1" applyAlignment="1">
      <alignment horizontal="center" vertical="center" wrapText="1"/>
    </xf>
    <xf numFmtId="0" fontId="27" fillId="0" borderId="70" xfId="36" applyFont="1" applyBorder="1" applyAlignment="1">
      <alignment horizontal="center" vertical="center" wrapText="1"/>
    </xf>
    <xf numFmtId="49" fontId="11" fillId="7" borderId="44" xfId="36" quotePrefix="1" applyNumberFormat="1" applyFont="1" applyFill="1" applyBorder="1" applyAlignment="1">
      <alignment horizontal="right" vertical="center" wrapText="1"/>
    </xf>
    <xf numFmtId="49" fontId="29" fillId="7" borderId="44" xfId="36" applyNumberFormat="1" applyFont="1" applyFill="1" applyBorder="1" applyAlignment="1">
      <alignment horizontal="right" vertical="center" wrapText="1"/>
    </xf>
    <xf numFmtId="0" fontId="27" fillId="0" borderId="69" xfId="37" applyFont="1" applyBorder="1" applyAlignment="1">
      <alignment horizontal="center" vertical="center"/>
    </xf>
    <xf numFmtId="0" fontId="27" fillId="0" borderId="70" xfId="37" applyFont="1" applyBorder="1" applyAlignment="1">
      <alignment horizontal="center" vertical="center"/>
    </xf>
    <xf numFmtId="0" fontId="27" fillId="0" borderId="70" xfId="0" applyFont="1" applyBorder="1" applyAlignment="1">
      <alignment vertical="center" wrapText="1"/>
    </xf>
    <xf numFmtId="173" fontId="26" fillId="7" borderId="44" xfId="37" quotePrefix="1" applyNumberFormat="1" applyFont="1" applyFill="1" applyBorder="1" applyAlignment="1">
      <alignment vertical="center"/>
    </xf>
    <xf numFmtId="10" fontId="26" fillId="7" borderId="44" xfId="37" quotePrefix="1" applyNumberFormat="1" applyFont="1" applyFill="1" applyBorder="1" applyAlignment="1">
      <alignment vertical="center"/>
    </xf>
    <xf numFmtId="4" fontId="24" fillId="7" borderId="44" xfId="31" applyNumberFormat="1" applyFont="1" applyFill="1" applyBorder="1" applyAlignment="1" applyProtection="1">
      <alignment vertical="center"/>
    </xf>
    <xf numFmtId="10" fontId="24" fillId="7" borderId="57" xfId="31" applyNumberFormat="1" applyFont="1" applyFill="1" applyBorder="1" applyAlignment="1" applyProtection="1">
      <alignment vertical="center"/>
    </xf>
    <xf numFmtId="0" fontId="68" fillId="0" borderId="0" xfId="0" applyFont="1" applyAlignment="1">
      <alignment vertical="center" wrapText="1"/>
    </xf>
    <xf numFmtId="0" fontId="77" fillId="0" borderId="0" xfId="0" applyFont="1" applyAlignment="1">
      <alignment horizontal="center" vertical="center"/>
    </xf>
    <xf numFmtId="169" fontId="23" fillId="7" borderId="70" xfId="30" applyNumberFormat="1" applyFont="1" applyFill="1" applyBorder="1" applyAlignment="1" applyProtection="1">
      <alignment horizontal="right" vertical="center" wrapText="1"/>
    </xf>
    <xf numFmtId="0" fontId="26" fillId="17" borderId="55" xfId="36" applyFont="1" applyFill="1" applyBorder="1" applyAlignment="1">
      <alignment horizontal="right" vertical="center" wrapText="1"/>
    </xf>
    <xf numFmtId="0" fontId="0" fillId="7" borderId="43" xfId="0" applyFill="1" applyBorder="1" applyAlignment="1">
      <alignment horizontal="right" vertical="center"/>
    </xf>
    <xf numFmtId="0" fontId="0" fillId="7" borderId="43" xfId="31" applyNumberFormat="1" applyFont="1" applyFill="1" applyBorder="1" applyAlignment="1" applyProtection="1">
      <alignment horizontal="right" vertical="center"/>
    </xf>
    <xf numFmtId="0" fontId="0" fillId="7" borderId="44" xfId="31" applyNumberFormat="1" applyFont="1" applyFill="1" applyBorder="1" applyAlignment="1" applyProtection="1">
      <alignment horizontal="right" vertical="center"/>
    </xf>
    <xf numFmtId="0" fontId="0" fillId="7" borderId="44" xfId="0" applyFill="1" applyBorder="1" applyAlignment="1">
      <alignment horizontal="right" vertical="center"/>
    </xf>
    <xf numFmtId="49" fontId="11" fillId="11" borderId="54" xfId="37" applyNumberFormat="1" applyFont="1" applyFill="1" applyBorder="1" applyAlignment="1">
      <alignment horizontal="right" vertical="center" wrapText="1"/>
    </xf>
    <xf numFmtId="49" fontId="11" fillId="11" borderId="44" xfId="37" applyNumberFormat="1" applyFont="1" applyFill="1" applyBorder="1" applyAlignment="1">
      <alignment horizontal="right" vertical="center" wrapText="1"/>
    </xf>
    <xf numFmtId="173" fontId="2" fillId="7" borderId="54" xfId="0" applyNumberFormat="1" applyFont="1" applyFill="1" applyBorder="1" applyAlignment="1">
      <alignment vertical="center"/>
    </xf>
    <xf numFmtId="173" fontId="2" fillId="7" borderId="44" xfId="0" applyNumberFormat="1" applyFont="1" applyFill="1" applyBorder="1" applyAlignment="1">
      <alignment vertical="center"/>
    </xf>
    <xf numFmtId="0" fontId="11" fillId="2" borderId="41" xfId="37" applyFont="1" applyFill="1" applyBorder="1" applyAlignment="1">
      <alignment horizontal="left" vertical="center" wrapText="1"/>
    </xf>
    <xf numFmtId="0" fontId="11" fillId="2" borderId="54" xfId="0" applyFont="1" applyFill="1" applyBorder="1" applyAlignment="1">
      <alignment horizontal="center" vertical="center"/>
    </xf>
    <xf numFmtId="0" fontId="26" fillId="2" borderId="54" xfId="37" applyFont="1" applyFill="1" applyBorder="1" applyAlignment="1">
      <alignment horizontal="center" vertical="center"/>
    </xf>
    <xf numFmtId="3" fontId="23" fillId="12" borderId="26" xfId="30" applyNumberFormat="1" applyFont="1" applyFill="1" applyBorder="1" applyAlignment="1" applyProtection="1">
      <alignment horizontal="right" vertical="center" wrapText="1"/>
      <protection locked="0"/>
    </xf>
    <xf numFmtId="3" fontId="23" fillId="12" borderId="63" xfId="30" applyNumberFormat="1" applyFont="1" applyFill="1" applyBorder="1" applyAlignment="1" applyProtection="1">
      <alignment horizontal="right" vertical="center" wrapText="1"/>
      <protection locked="0"/>
    </xf>
    <xf numFmtId="49" fontId="26" fillId="7" borderId="63" xfId="36" quotePrefix="1" applyNumberFormat="1" applyFont="1" applyFill="1" applyBorder="1" applyAlignment="1">
      <alignment horizontal="right" vertical="center" wrapText="1"/>
    </xf>
    <xf numFmtId="49" fontId="26" fillId="9" borderId="63" xfId="36" applyNumberFormat="1" applyFont="1" applyFill="1" applyBorder="1" applyAlignment="1" applyProtection="1">
      <alignment horizontal="right" vertical="center" wrapText="1"/>
      <protection locked="0"/>
    </xf>
    <xf numFmtId="0" fontId="27" fillId="0" borderId="23" xfId="36" applyFont="1" applyBorder="1" applyAlignment="1">
      <alignment horizontal="center" vertical="center" wrapText="1"/>
    </xf>
    <xf numFmtId="49" fontId="29" fillId="12" borderId="63" xfId="30" applyNumberFormat="1" applyFont="1" applyFill="1" applyBorder="1" applyAlignment="1" applyProtection="1">
      <alignment horizontal="right" vertical="center" wrapText="1"/>
      <protection locked="0"/>
    </xf>
    <xf numFmtId="0" fontId="41" fillId="2" borderId="41" xfId="36" applyFont="1" applyFill="1" applyBorder="1" applyAlignment="1">
      <alignment horizontal="left" vertical="center" wrapText="1" indent="2"/>
    </xf>
    <xf numFmtId="3" fontId="11" fillId="12" borderId="54" xfId="30" applyNumberFormat="1" applyFont="1" applyFill="1" applyBorder="1" applyAlignment="1" applyProtection="1">
      <alignment horizontal="right" vertical="center" wrapText="1"/>
      <protection locked="0"/>
    </xf>
    <xf numFmtId="0" fontId="11" fillId="2" borderId="16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left" vertical="center" wrapText="1"/>
    </xf>
    <xf numFmtId="0" fontId="11" fillId="2" borderId="55" xfId="36" applyFont="1" applyFill="1" applyBorder="1" applyAlignment="1">
      <alignment horizontal="center" vertical="center" wrapText="1"/>
    </xf>
    <xf numFmtId="0" fontId="41" fillId="2" borderId="41" xfId="37" applyFont="1" applyFill="1" applyBorder="1" applyAlignment="1">
      <alignment horizontal="left" vertical="center" wrapText="1" indent="4"/>
    </xf>
    <xf numFmtId="0" fontId="11" fillId="2" borderId="58" xfId="0" applyFont="1" applyFill="1" applyBorder="1" applyAlignment="1">
      <alignment horizontal="center" vertical="center"/>
    </xf>
    <xf numFmtId="0" fontId="41" fillId="2" borderId="42" xfId="37" applyFont="1" applyFill="1" applyBorder="1" applyAlignment="1">
      <alignment horizontal="left" vertical="center" wrapText="1" indent="2"/>
    </xf>
    <xf numFmtId="0" fontId="11" fillId="2" borderId="12" xfId="0" applyFont="1" applyFill="1" applyBorder="1" applyAlignment="1">
      <alignment horizontal="center" vertical="center"/>
    </xf>
    <xf numFmtId="0" fontId="11" fillId="2" borderId="4" xfId="37" applyFont="1" applyFill="1" applyBorder="1" applyAlignment="1">
      <alignment vertical="center" wrapText="1"/>
    </xf>
    <xf numFmtId="0" fontId="41" fillId="2" borderId="4" xfId="37" applyFont="1" applyFill="1" applyBorder="1" applyAlignment="1">
      <alignment horizontal="left" vertical="center" wrapText="1" indent="2"/>
    </xf>
    <xf numFmtId="0" fontId="11" fillId="2" borderId="55" xfId="0" applyFont="1" applyFill="1" applyBorder="1" applyAlignment="1">
      <alignment horizontal="center" vertical="center"/>
    </xf>
    <xf numFmtId="0" fontId="41" fillId="2" borderId="41" xfId="37" applyFont="1" applyFill="1" applyBorder="1" applyAlignment="1">
      <alignment horizontal="left" vertical="center" wrapText="1" indent="3"/>
    </xf>
    <xf numFmtId="0" fontId="11" fillId="2" borderId="55" xfId="0" applyFont="1" applyFill="1" applyBorder="1" applyAlignment="1">
      <alignment horizontal="center" vertical="center" wrapText="1"/>
    </xf>
    <xf numFmtId="0" fontId="41" fillId="2" borderId="56" xfId="37" applyFont="1" applyFill="1" applyBorder="1" applyAlignment="1">
      <alignment horizontal="left" vertical="center" wrapText="1" indent="3"/>
    </xf>
    <xf numFmtId="0" fontId="75" fillId="21" borderId="55" xfId="37" applyFont="1" applyFill="1" applyBorder="1" applyAlignment="1">
      <alignment horizontal="center" vertical="center" wrapText="1"/>
    </xf>
    <xf numFmtId="0" fontId="75" fillId="21" borderId="57" xfId="37" applyFont="1" applyFill="1" applyBorder="1" applyAlignment="1">
      <alignment horizontal="center" vertical="center" wrapText="1"/>
    </xf>
    <xf numFmtId="49" fontId="26" fillId="9" borderId="16" xfId="36" applyNumberFormat="1" applyFont="1" applyFill="1" applyBorder="1" applyAlignment="1" applyProtection="1">
      <alignment horizontal="right" vertical="center" wrapText="1"/>
      <protection locked="0"/>
    </xf>
    <xf numFmtId="49" fontId="26" fillId="9" borderId="15" xfId="36" applyNumberFormat="1" applyFont="1" applyFill="1" applyBorder="1" applyAlignment="1" applyProtection="1">
      <alignment horizontal="right" vertical="center" wrapText="1"/>
      <protection locked="0"/>
    </xf>
    <xf numFmtId="0" fontId="11" fillId="2" borderId="63" xfId="36" applyFont="1" applyFill="1" applyBorder="1" applyAlignment="1">
      <alignment horizontal="center" vertical="center" wrapText="1"/>
    </xf>
    <xf numFmtId="0" fontId="89" fillId="2" borderId="54" xfId="37" applyFont="1" applyFill="1" applyBorder="1" applyAlignment="1">
      <alignment horizontal="center" vertical="center" wrapText="1"/>
    </xf>
    <xf numFmtId="0" fontId="89" fillId="2" borderId="41" xfId="37" applyFont="1" applyFill="1" applyBorder="1" applyAlignment="1">
      <alignment vertical="center" wrapText="1"/>
    </xf>
    <xf numFmtId="0" fontId="91" fillId="2" borderId="41" xfId="0" applyFont="1" applyFill="1" applyBorder="1" applyAlignment="1">
      <alignment horizontal="left" vertical="center" wrapText="1" indent="2"/>
    </xf>
    <xf numFmtId="0" fontId="69" fillId="2" borderId="41" xfId="37" applyFont="1" applyFill="1" applyBorder="1" applyAlignment="1">
      <alignment horizontal="left" vertical="center" wrapText="1"/>
    </xf>
    <xf numFmtId="0" fontId="11" fillId="2" borderId="78" xfId="36" applyFont="1" applyFill="1" applyBorder="1" applyAlignment="1">
      <alignment horizontal="center" vertical="center" wrapText="1"/>
    </xf>
    <xf numFmtId="0" fontId="11" fillId="2" borderId="26" xfId="36" applyFont="1" applyFill="1" applyBorder="1" applyAlignment="1">
      <alignment horizontal="center" vertical="center" wrapText="1"/>
    </xf>
    <xf numFmtId="0" fontId="23" fillId="2" borderId="63" xfId="36" applyFont="1" applyFill="1" applyBorder="1" applyAlignment="1">
      <alignment horizontal="center" vertical="center" wrapText="1"/>
    </xf>
    <xf numFmtId="0" fontId="26" fillId="2" borderId="63" xfId="36" applyFont="1" applyFill="1" applyBorder="1" applyAlignment="1">
      <alignment horizontal="center" vertical="center" wrapText="1"/>
    </xf>
    <xf numFmtId="0" fontId="26" fillId="2" borderId="24" xfId="36" applyFont="1" applyFill="1" applyBorder="1" applyAlignment="1">
      <alignment horizontal="center" vertical="center" wrapText="1"/>
    </xf>
    <xf numFmtId="0" fontId="26" fillId="2" borderId="63" xfId="37" applyFont="1" applyFill="1" applyBorder="1" applyAlignment="1">
      <alignment horizontal="center" vertical="center" wrapText="1"/>
    </xf>
    <xf numFmtId="0" fontId="69" fillId="2" borderId="16" xfId="37" applyFont="1" applyFill="1" applyBorder="1" applyAlignment="1">
      <alignment horizontal="center" vertical="center" wrapText="1"/>
    </xf>
    <xf numFmtId="0" fontId="69" fillId="2" borderId="17" xfId="37" applyFont="1" applyFill="1" applyBorder="1" applyAlignment="1">
      <alignment vertical="center" wrapText="1"/>
    </xf>
    <xf numFmtId="0" fontId="69" fillId="2" borderId="54" xfId="37" applyFont="1" applyFill="1" applyBorder="1" applyAlignment="1">
      <alignment horizontal="center" vertical="center" wrapText="1"/>
    </xf>
    <xf numFmtId="0" fontId="69" fillId="2" borderId="55" xfId="37" applyFont="1" applyFill="1" applyBorder="1" applyAlignment="1">
      <alignment horizontal="center" vertical="center" wrapText="1"/>
    </xf>
    <xf numFmtId="0" fontId="69" fillId="2" borderId="56" xfId="37" applyFont="1" applyFill="1" applyBorder="1" applyAlignment="1">
      <alignment horizontal="left" vertical="center" wrapText="1"/>
    </xf>
    <xf numFmtId="0" fontId="69" fillId="2" borderId="26" xfId="36" applyFont="1" applyFill="1" applyBorder="1" applyAlignment="1">
      <alignment horizontal="center" vertical="center" wrapText="1"/>
    </xf>
    <xf numFmtId="0" fontId="69" fillId="2" borderId="63" xfId="36" applyFont="1" applyFill="1" applyBorder="1" applyAlignment="1">
      <alignment horizontal="center" vertical="center" wrapText="1"/>
    </xf>
    <xf numFmtId="0" fontId="89" fillId="2" borderId="63" xfId="37" applyFont="1" applyFill="1" applyBorder="1" applyAlignment="1">
      <alignment horizontal="center" vertical="center" wrapText="1"/>
    </xf>
    <xf numFmtId="0" fontId="69" fillId="2" borderId="63" xfId="37" applyFont="1" applyFill="1" applyBorder="1" applyAlignment="1">
      <alignment horizontal="center" vertical="center" wrapText="1"/>
    </xf>
    <xf numFmtId="0" fontId="69" fillId="2" borderId="17" xfId="0" applyFont="1" applyFill="1" applyBorder="1" applyAlignment="1">
      <alignment vertical="center" wrapText="1"/>
    </xf>
    <xf numFmtId="0" fontId="69" fillId="2" borderId="54" xfId="0" applyFont="1" applyFill="1" applyBorder="1" applyAlignment="1">
      <alignment horizontal="center" vertical="center"/>
    </xf>
    <xf numFmtId="0" fontId="69" fillId="2" borderId="41" xfId="0" applyFont="1" applyFill="1" applyBorder="1" applyAlignment="1">
      <alignment vertical="center" wrapText="1"/>
    </xf>
    <xf numFmtId="0" fontId="89" fillId="2" borderId="41" xfId="0" applyFont="1" applyFill="1" applyBorder="1" applyAlignment="1">
      <alignment vertical="center" wrapText="1"/>
    </xf>
    <xf numFmtId="167" fontId="26" fillId="2" borderId="26" xfId="7" applyFont="1" applyFill="1" applyBorder="1" applyAlignment="1">
      <alignment horizontal="center" vertical="center" wrapText="1"/>
    </xf>
    <xf numFmtId="167" fontId="26" fillId="2" borderId="63" xfId="7" applyFont="1" applyFill="1" applyBorder="1" applyAlignment="1">
      <alignment horizontal="center" vertical="center" wrapText="1"/>
    </xf>
    <xf numFmtId="0" fontId="2" fillId="18" borderId="69" xfId="0" applyFont="1" applyFill="1" applyBorder="1" applyAlignment="1">
      <alignment horizontal="right" vertical="center"/>
    </xf>
    <xf numFmtId="49" fontId="2" fillId="18" borderId="70" xfId="30" applyNumberFormat="1" applyFont="1" applyFill="1" applyBorder="1" applyAlignment="1" applyProtection="1">
      <alignment horizontal="right" vertical="center"/>
    </xf>
    <xf numFmtId="4" fontId="0" fillId="17" borderId="70" xfId="31" applyNumberFormat="1" applyFont="1" applyFill="1" applyBorder="1" applyAlignment="1" applyProtection="1">
      <alignment horizontal="right" vertical="center"/>
    </xf>
    <xf numFmtId="172" fontId="0" fillId="17" borderId="70" xfId="31" applyNumberFormat="1" applyFont="1" applyFill="1" applyBorder="1" applyAlignment="1" applyProtection="1">
      <alignment horizontal="right" vertical="center"/>
    </xf>
    <xf numFmtId="0" fontId="54" fillId="20" borderId="29" xfId="7" applyNumberFormat="1" applyFont="1" applyFill="1" applyBorder="1" applyAlignment="1">
      <alignment horizontal="center" vertical="center" wrapText="1"/>
    </xf>
    <xf numFmtId="0" fontId="54" fillId="20" borderId="77" xfId="7" applyNumberFormat="1" applyFont="1" applyFill="1" applyBorder="1" applyAlignment="1">
      <alignment horizontal="center" vertical="center" wrapText="1"/>
    </xf>
    <xf numFmtId="49" fontId="0" fillId="9" borderId="16" xfId="0" applyNumberFormat="1" applyFill="1" applyBorder="1" applyAlignment="1" applyProtection="1">
      <alignment horizontal="right" vertical="center"/>
      <protection locked="0"/>
    </xf>
    <xf numFmtId="49" fontId="0" fillId="9" borderId="54" xfId="0" applyNumberFormat="1" applyFill="1" applyBorder="1" applyAlignment="1" applyProtection="1">
      <alignment horizontal="right" vertical="center"/>
      <protection locked="0"/>
    </xf>
    <xf numFmtId="4" fontId="0" fillId="9" borderId="54" xfId="0" applyNumberFormat="1" applyFill="1" applyBorder="1" applyAlignment="1" applyProtection="1">
      <alignment horizontal="right" vertical="center"/>
      <protection locked="0"/>
    </xf>
    <xf numFmtId="172" fontId="0" fillId="9" borderId="54" xfId="31" applyNumberFormat="1" applyFont="1" applyFill="1" applyBorder="1" applyAlignment="1" applyProtection="1">
      <alignment horizontal="right" vertical="center"/>
      <protection locked="0"/>
    </xf>
    <xf numFmtId="0" fontId="26" fillId="17" borderId="58" xfId="36" applyFont="1" applyFill="1" applyBorder="1" applyAlignment="1">
      <alignment horizontal="right" vertical="center" wrapText="1"/>
    </xf>
    <xf numFmtId="49" fontId="26" fillId="18" borderId="59" xfId="36" applyNumberFormat="1" applyFont="1" applyFill="1" applyBorder="1" applyAlignment="1">
      <alignment horizontal="right" vertical="center" wrapText="1"/>
    </xf>
    <xf numFmtId="173" fontId="0" fillId="9" borderId="54" xfId="31" applyNumberFormat="1" applyFont="1" applyFill="1" applyBorder="1" applyAlignment="1" applyProtection="1">
      <alignment horizontal="right" vertical="center"/>
      <protection locked="0"/>
    </xf>
    <xf numFmtId="10" fontId="0" fillId="9" borderId="54" xfId="31" applyNumberFormat="1" applyFont="1" applyFill="1" applyBorder="1" applyAlignment="1" applyProtection="1">
      <alignment horizontal="right" vertical="center"/>
      <protection locked="0"/>
    </xf>
    <xf numFmtId="0" fontId="29" fillId="13" borderId="26" xfId="36" applyFont="1" applyFill="1" applyBorder="1" applyAlignment="1">
      <alignment horizontal="center" vertical="center" wrapText="1"/>
    </xf>
    <xf numFmtId="0" fontId="29" fillId="13" borderId="63" xfId="36" applyFont="1" applyFill="1" applyBorder="1" applyAlignment="1">
      <alignment horizontal="center" vertical="center" wrapText="1"/>
    </xf>
    <xf numFmtId="2" fontId="0" fillId="9" borderId="54" xfId="0" applyNumberFormat="1" applyFill="1" applyBorder="1" applyAlignment="1" applyProtection="1">
      <alignment vertical="center"/>
      <protection locked="0"/>
    </xf>
    <xf numFmtId="0" fontId="29" fillId="2" borderId="63" xfId="0" applyFont="1" applyFill="1" applyBorder="1" applyAlignment="1">
      <alignment horizontal="center" vertical="center"/>
    </xf>
    <xf numFmtId="0" fontId="29" fillId="13" borderId="24" xfId="36" applyFont="1" applyFill="1" applyBorder="1" applyAlignment="1">
      <alignment horizontal="center" vertical="center" wrapText="1"/>
    </xf>
    <xf numFmtId="0" fontId="2" fillId="18" borderId="57" xfId="0" applyFont="1" applyFill="1" applyBorder="1" applyAlignment="1">
      <alignment horizontal="right" vertical="center"/>
    </xf>
    <xf numFmtId="0" fontId="81" fillId="25" borderId="41" xfId="0" quotePrefix="1" applyFont="1" applyFill="1" applyBorder="1" applyAlignment="1">
      <alignment horizontal="center"/>
    </xf>
    <xf numFmtId="0" fontId="27" fillId="4" borderId="38" xfId="0" applyFont="1" applyFill="1" applyBorder="1" applyAlignment="1">
      <alignment horizontal="center" vertical="center" wrapText="1"/>
    </xf>
    <xf numFmtId="4" fontId="11" fillId="9" borderId="55" xfId="37" applyNumberFormat="1" applyFont="1" applyFill="1" applyBorder="1" applyAlignment="1" applyProtection="1">
      <alignment vertical="center" wrapText="1"/>
      <protection locked="0"/>
    </xf>
    <xf numFmtId="4" fontId="11" fillId="9" borderId="57" xfId="37" applyNumberFormat="1" applyFont="1" applyFill="1" applyBorder="1" applyAlignment="1" applyProtection="1">
      <alignment vertical="center" wrapText="1"/>
      <protection locked="0"/>
    </xf>
    <xf numFmtId="4" fontId="11" fillId="7" borderId="54" xfId="37" applyNumberFormat="1" applyFont="1" applyFill="1" applyBorder="1" applyAlignment="1">
      <alignment horizontal="right" vertical="center" wrapText="1"/>
    </xf>
    <xf numFmtId="4" fontId="11" fillId="7" borderId="44" xfId="37" applyNumberFormat="1" applyFont="1" applyFill="1" applyBorder="1" applyAlignment="1">
      <alignment horizontal="right" vertical="center" wrapText="1"/>
    </xf>
    <xf numFmtId="3" fontId="11" fillId="9" borderId="69" xfId="37" applyNumberFormat="1" applyFont="1" applyFill="1" applyBorder="1" applyAlignment="1" applyProtection="1">
      <alignment vertical="center" wrapText="1"/>
      <protection locked="0"/>
    </xf>
    <xf numFmtId="3" fontId="11" fillId="9" borderId="70" xfId="37" applyNumberFormat="1" applyFont="1" applyFill="1" applyBorder="1" applyAlignment="1" applyProtection="1">
      <alignment vertical="center" wrapText="1"/>
      <protection locked="0"/>
    </xf>
    <xf numFmtId="3" fontId="26" fillId="7" borderId="70" xfId="37" applyNumberFormat="1" applyFont="1" applyFill="1" applyBorder="1" applyAlignment="1">
      <alignment vertical="center" wrapText="1"/>
    </xf>
    <xf numFmtId="0" fontId="26" fillId="26" borderId="55" xfId="37" applyFont="1" applyFill="1" applyBorder="1" applyAlignment="1">
      <alignment horizontal="center" vertical="center" wrapText="1"/>
    </xf>
    <xf numFmtId="0" fontId="26" fillId="26" borderId="56" xfId="37" applyFont="1" applyFill="1" applyBorder="1" applyAlignment="1">
      <alignment horizontal="left" vertical="center" wrapText="1"/>
    </xf>
    <xf numFmtId="0" fontId="35" fillId="0" borderId="0" xfId="0" applyFont="1" applyAlignment="1">
      <alignment vertical="center"/>
    </xf>
    <xf numFmtId="0" fontId="91" fillId="2" borderId="41" xfId="37" applyFont="1" applyFill="1" applyBorder="1" applyAlignment="1">
      <alignment horizontal="left" vertical="center" wrapText="1" indent="2"/>
    </xf>
    <xf numFmtId="0" fontId="69" fillId="2" borderId="14" xfId="0" applyFont="1" applyFill="1" applyBorder="1" applyAlignment="1">
      <alignment horizontal="center" vertical="center"/>
    </xf>
    <xf numFmtId="0" fontId="91" fillId="2" borderId="56" xfId="37" applyFont="1" applyFill="1" applyBorder="1" applyAlignment="1">
      <alignment horizontal="left" vertical="center" wrapText="1" indent="2"/>
    </xf>
    <xf numFmtId="0" fontId="11" fillId="26" borderId="79" xfId="37" applyFont="1" applyFill="1" applyBorder="1" applyAlignment="1">
      <alignment horizontal="center" vertical="center" wrapText="1"/>
    </xf>
    <xf numFmtId="3" fontId="26" fillId="7" borderId="54" xfId="37" applyNumberFormat="1" applyFont="1" applyFill="1" applyBorder="1" applyAlignment="1">
      <alignment vertical="center" wrapText="1"/>
    </xf>
    <xf numFmtId="172" fontId="11" fillId="11" borderId="55" xfId="31" applyNumberFormat="1" applyFont="1" applyFill="1" applyBorder="1" applyAlignment="1" applyProtection="1">
      <alignment horizontal="right" vertical="center" wrapText="1"/>
    </xf>
    <xf numFmtId="172" fontId="11" fillId="11" borderId="57" xfId="31" applyNumberFormat="1" applyFont="1" applyFill="1" applyBorder="1" applyAlignment="1" applyProtection="1">
      <alignment horizontal="right" vertical="center" wrapText="1"/>
    </xf>
    <xf numFmtId="0" fontId="84" fillId="7" borderId="67" xfId="0" applyFont="1" applyFill="1" applyBorder="1" applyAlignment="1">
      <alignment horizontal="center" vertical="center" wrapText="1"/>
    </xf>
    <xf numFmtId="10" fontId="0" fillId="9" borderId="54" xfId="31" applyNumberFormat="1" applyFont="1" applyFill="1" applyBorder="1" applyAlignment="1" applyProtection="1">
      <alignment vertical="center"/>
      <protection locked="0"/>
    </xf>
    <xf numFmtId="10" fontId="0" fillId="17" borderId="44" xfId="31" applyNumberFormat="1" applyFont="1" applyFill="1" applyBorder="1" applyAlignment="1" applyProtection="1">
      <alignment vertical="center"/>
    </xf>
    <xf numFmtId="0" fontId="69" fillId="2" borderId="17" xfId="36" applyFont="1" applyFill="1" applyBorder="1" applyAlignment="1">
      <alignment vertical="center" wrapText="1"/>
    </xf>
    <xf numFmtId="0" fontId="69" fillId="2" borderId="41" xfId="36" applyFont="1" applyFill="1" applyBorder="1" applyAlignment="1">
      <alignment vertical="center" wrapText="1"/>
    </xf>
    <xf numFmtId="0" fontId="84" fillId="7" borderId="83" xfId="0" applyFont="1" applyFill="1" applyBorder="1" applyAlignment="1">
      <alignment horizontal="center" vertical="center" wrapText="1"/>
    </xf>
    <xf numFmtId="0" fontId="69" fillId="2" borderId="16" xfId="0" applyFont="1" applyFill="1" applyBorder="1" applyAlignment="1">
      <alignment horizontal="center" vertical="center"/>
    </xf>
    <xf numFmtId="0" fontId="69" fillId="2" borderId="17" xfId="0" applyFont="1" applyFill="1" applyBorder="1" applyAlignment="1">
      <alignment horizontal="left" vertical="center" wrapText="1"/>
    </xf>
    <xf numFmtId="49" fontId="11" fillId="11" borderId="16" xfId="37" applyNumberFormat="1" applyFont="1" applyFill="1" applyBorder="1" applyAlignment="1">
      <alignment horizontal="right" vertical="center" wrapText="1"/>
    </xf>
    <xf numFmtId="49" fontId="11" fillId="11" borderId="15" xfId="37" applyNumberFormat="1" applyFont="1" applyFill="1" applyBorder="1" applyAlignment="1">
      <alignment horizontal="right" vertical="center" wrapText="1"/>
    </xf>
    <xf numFmtId="0" fontId="27" fillId="0" borderId="87" xfId="37" applyFont="1" applyBorder="1" applyAlignment="1">
      <alignment horizontal="center" vertical="center" wrapText="1"/>
    </xf>
    <xf numFmtId="0" fontId="27" fillId="4" borderId="87" xfId="0" applyFont="1" applyFill="1" applyBorder="1" applyAlignment="1">
      <alignment horizontal="center" vertical="center" wrapText="1"/>
    </xf>
    <xf numFmtId="0" fontId="72" fillId="0" borderId="12" xfId="37" applyFont="1" applyBorder="1" applyAlignment="1">
      <alignment horizontal="center" vertical="center" wrapText="1"/>
    </xf>
    <xf numFmtId="0" fontId="72" fillId="0" borderId="13" xfId="37" applyFont="1" applyBorder="1" applyAlignment="1">
      <alignment horizontal="center" vertical="center" wrapText="1"/>
    </xf>
    <xf numFmtId="0" fontId="72" fillId="0" borderId="58" xfId="36" applyFont="1" applyBorder="1" applyAlignment="1">
      <alignment horizontal="center" vertical="center" wrapText="1"/>
    </xf>
    <xf numFmtId="0" fontId="72" fillId="0" borderId="59" xfId="36" applyFont="1" applyBorder="1" applyAlignment="1">
      <alignment horizontal="center" vertical="center" wrapText="1"/>
    </xf>
    <xf numFmtId="0" fontId="72" fillId="0" borderId="54" xfId="36" applyFont="1" applyBorder="1" applyAlignment="1">
      <alignment horizontal="center" vertical="center" wrapText="1"/>
    </xf>
    <xf numFmtId="0" fontId="72" fillId="0" borderId="44" xfId="36" applyFont="1" applyBorder="1" applyAlignment="1">
      <alignment horizontal="center" vertical="center" wrapText="1"/>
    </xf>
    <xf numFmtId="0" fontId="24" fillId="7" borderId="54" xfId="37" applyFont="1" applyFill="1" applyBorder="1" applyAlignment="1">
      <alignment horizontal="right" vertical="center" wrapText="1"/>
    </xf>
    <xf numFmtId="0" fontId="24" fillId="7" borderId="44" xfId="37" applyFont="1" applyFill="1" applyBorder="1" applyAlignment="1">
      <alignment horizontal="right" vertical="center" wrapText="1"/>
    </xf>
    <xf numFmtId="49" fontId="26" fillId="7" borderId="70" xfId="37" applyNumberFormat="1" applyFont="1" applyFill="1" applyBorder="1" applyAlignment="1">
      <alignment horizontal="right" vertical="center" wrapText="1"/>
    </xf>
    <xf numFmtId="3" fontId="72" fillId="0" borderId="54" xfId="36" applyNumberFormat="1" applyFont="1" applyBorder="1" applyAlignment="1">
      <alignment horizontal="center" vertical="center" wrapText="1"/>
    </xf>
    <xf numFmtId="0" fontId="31" fillId="0" borderId="87" xfId="37" applyFont="1" applyBorder="1" applyAlignment="1">
      <alignment horizontal="center" vertical="center" wrapText="1"/>
    </xf>
    <xf numFmtId="3" fontId="11" fillId="9" borderId="88" xfId="37" applyNumberFormat="1" applyFont="1" applyFill="1" applyBorder="1" applyAlignment="1" applyProtection="1">
      <alignment vertical="center" wrapText="1"/>
      <protection locked="0"/>
    </xf>
    <xf numFmtId="0" fontId="11" fillId="2" borderId="79" xfId="36" applyFont="1" applyFill="1" applyBorder="1" applyAlignment="1">
      <alignment horizontal="center" vertical="center" wrapText="1"/>
    </xf>
    <xf numFmtId="0" fontId="26" fillId="2" borderId="79" xfId="37" applyFont="1" applyFill="1" applyBorder="1" applyAlignment="1">
      <alignment horizontal="center" vertical="center" wrapText="1"/>
    </xf>
    <xf numFmtId="0" fontId="69" fillId="2" borderId="79" xfId="37" applyFont="1" applyFill="1" applyBorder="1" applyAlignment="1">
      <alignment horizontal="center" vertical="center" wrapText="1"/>
    </xf>
    <xf numFmtId="0" fontId="27" fillId="0" borderId="87" xfId="36" applyFont="1" applyBorder="1" applyAlignment="1">
      <alignment horizontal="center" vertical="center" wrapText="1"/>
    </xf>
    <xf numFmtId="49" fontId="11" fillId="9" borderId="79" xfId="36" applyNumberFormat="1" applyFont="1" applyFill="1" applyBorder="1" applyAlignment="1" applyProtection="1">
      <alignment horizontal="right" vertical="center" wrapText="1"/>
      <protection locked="0"/>
    </xf>
    <xf numFmtId="0" fontId="11" fillId="2" borderId="79" xfId="37" applyFont="1" applyFill="1" applyBorder="1" applyAlignment="1">
      <alignment horizontal="center" vertical="center" wrapText="1"/>
    </xf>
    <xf numFmtId="167" fontId="26" fillId="2" borderId="79" xfId="7" applyFont="1" applyFill="1" applyBorder="1" applyAlignment="1">
      <alignment horizontal="center" vertical="center" wrapText="1"/>
    </xf>
    <xf numFmtId="0" fontId="0" fillId="11" borderId="88" xfId="0" applyFill="1" applyBorder="1"/>
    <xf numFmtId="0" fontId="2" fillId="11" borderId="88" xfId="0" applyFont="1" applyFill="1" applyBorder="1" applyAlignment="1">
      <alignment horizontal="right" vertical="center"/>
    </xf>
    <xf numFmtId="3" fontId="23" fillId="9" borderId="15" xfId="37" applyNumberFormat="1" applyFont="1" applyFill="1" applyBorder="1" applyAlignment="1" applyProtection="1">
      <alignment vertical="center" wrapText="1"/>
      <protection locked="0"/>
    </xf>
    <xf numFmtId="3" fontId="23" fillId="9" borderId="44" xfId="37" applyNumberFormat="1" applyFont="1" applyFill="1" applyBorder="1" applyAlignment="1" applyProtection="1">
      <alignment vertical="center" wrapText="1"/>
      <protection locked="0"/>
    </xf>
    <xf numFmtId="3" fontId="23" fillId="9" borderId="57" xfId="37" applyNumberFormat="1" applyFont="1" applyFill="1" applyBorder="1" applyAlignment="1" applyProtection="1">
      <alignment vertical="center" wrapText="1"/>
      <protection locked="0"/>
    </xf>
    <xf numFmtId="3" fontId="2" fillId="4" borderId="0" xfId="0" applyNumberFormat="1" applyFont="1" applyFill="1"/>
    <xf numFmtId="169" fontId="29" fillId="9" borderId="72" xfId="30" applyNumberFormat="1" applyFont="1" applyFill="1" applyBorder="1" applyAlignment="1" applyProtection="1">
      <alignment horizontal="right" vertical="center" wrapText="1"/>
      <protection locked="0"/>
    </xf>
    <xf numFmtId="0" fontId="95" fillId="24" borderId="51" xfId="3" applyNumberFormat="1" applyFont="1" applyFill="1" applyBorder="1" applyAlignment="1" applyProtection="1">
      <alignment horizontal="left" vertical="center" indent="1"/>
    </xf>
    <xf numFmtId="0" fontId="95" fillId="24" borderId="52" xfId="3" applyNumberFormat="1" applyFont="1" applyFill="1" applyBorder="1" applyAlignment="1" applyProtection="1">
      <alignment horizontal="left" vertical="center" indent="1"/>
    </xf>
    <xf numFmtId="0" fontId="95" fillId="24" borderId="53" xfId="3" applyNumberFormat="1" applyFont="1" applyFill="1" applyBorder="1" applyAlignment="1" applyProtection="1">
      <alignment horizontal="left" vertical="center" indent="1"/>
    </xf>
    <xf numFmtId="0" fontId="84" fillId="7" borderId="84" xfId="0" applyFont="1" applyFill="1" applyBorder="1" applyAlignment="1">
      <alignment horizontal="center" vertical="center" wrapText="1"/>
    </xf>
    <xf numFmtId="0" fontId="0" fillId="0" borderId="85" xfId="0" applyBorder="1" applyAlignment="1">
      <alignment horizontal="center" vertical="center" wrapText="1"/>
    </xf>
    <xf numFmtId="0" fontId="0" fillId="0" borderId="86" xfId="0" applyBorder="1" applyAlignment="1">
      <alignment horizontal="center" vertical="center" wrapText="1"/>
    </xf>
    <xf numFmtId="0" fontId="26" fillId="19" borderId="80" xfId="3" applyNumberFormat="1" applyFont="1" applyFill="1" applyBorder="1" applyAlignment="1" applyProtection="1">
      <alignment horizontal="left" vertical="center" wrapText="1" indent="1"/>
    </xf>
    <xf numFmtId="0" fontId="26" fillId="19" borderId="81" xfId="3" applyNumberFormat="1" applyFont="1" applyFill="1" applyBorder="1" applyAlignment="1" applyProtection="1">
      <alignment horizontal="left" vertical="center" wrapText="1" indent="1"/>
    </xf>
    <xf numFmtId="0" fontId="26" fillId="19" borderId="82" xfId="3" applyNumberFormat="1" applyFont="1" applyFill="1" applyBorder="1" applyAlignment="1" applyProtection="1">
      <alignment horizontal="left" vertical="center" wrapText="1" indent="1"/>
    </xf>
    <xf numFmtId="0" fontId="67" fillId="0" borderId="0" xfId="0" applyFont="1" applyAlignment="1">
      <alignment horizontal="left" vertical="center"/>
    </xf>
    <xf numFmtId="0" fontId="88" fillId="19" borderId="45" xfId="3" applyNumberFormat="1" applyFont="1" applyFill="1" applyBorder="1" applyAlignment="1" applyProtection="1">
      <alignment horizontal="left" vertical="center" wrapText="1" indent="1"/>
    </xf>
    <xf numFmtId="0" fontId="88" fillId="19" borderId="46" xfId="3" applyNumberFormat="1" applyFont="1" applyFill="1" applyBorder="1" applyAlignment="1" applyProtection="1">
      <alignment horizontal="left" vertical="center" wrapText="1" indent="1"/>
    </xf>
    <xf numFmtId="0" fontId="88" fillId="19" borderId="47" xfId="3" applyNumberFormat="1" applyFont="1" applyFill="1" applyBorder="1" applyAlignment="1" applyProtection="1">
      <alignment horizontal="left" vertical="center" wrapText="1" indent="1"/>
    </xf>
    <xf numFmtId="0" fontId="88" fillId="19" borderId="48" xfId="3" applyNumberFormat="1" applyFont="1" applyFill="1" applyBorder="1" applyAlignment="1" applyProtection="1">
      <alignment horizontal="left" vertical="center" wrapText="1" indent="1"/>
    </xf>
    <xf numFmtId="0" fontId="88" fillId="19" borderId="49" xfId="3" applyNumberFormat="1" applyFont="1" applyFill="1" applyBorder="1" applyAlignment="1" applyProtection="1">
      <alignment horizontal="left" vertical="center" wrapText="1" indent="1"/>
    </xf>
    <xf numFmtId="0" fontId="88" fillId="19" borderId="50" xfId="3" applyNumberFormat="1" applyFont="1" applyFill="1" applyBorder="1" applyAlignment="1" applyProtection="1">
      <alignment horizontal="left" vertical="center" wrapText="1" indent="1"/>
    </xf>
    <xf numFmtId="0" fontId="88" fillId="19" borderId="60" xfId="3" applyNumberFormat="1" applyFont="1" applyFill="1" applyBorder="1" applyAlignment="1" applyProtection="1">
      <alignment horizontal="left" vertical="center" wrapText="1" indent="1"/>
    </xf>
    <xf numFmtId="0" fontId="88" fillId="19" borderId="61" xfId="3" applyNumberFormat="1" applyFont="1" applyFill="1" applyBorder="1" applyAlignment="1" applyProtection="1">
      <alignment horizontal="left" vertical="center" wrapText="1" indent="1"/>
    </xf>
    <xf numFmtId="0" fontId="88" fillId="19" borderId="62" xfId="3" applyNumberFormat="1" applyFont="1" applyFill="1" applyBorder="1" applyAlignment="1" applyProtection="1">
      <alignment horizontal="left" vertical="center" wrapText="1" indent="1"/>
    </xf>
    <xf numFmtId="0" fontId="72" fillId="0" borderId="54" xfId="37" applyFont="1" applyBorder="1" applyAlignment="1">
      <alignment horizontal="center" vertical="center" wrapText="1"/>
    </xf>
    <xf numFmtId="0" fontId="72" fillId="0" borderId="44" xfId="37" applyFont="1" applyBorder="1" applyAlignment="1">
      <alignment horizontal="center" vertical="center" wrapText="1"/>
    </xf>
    <xf numFmtId="0" fontId="72" fillId="0" borderId="55" xfId="37" applyFont="1" applyBorder="1" applyAlignment="1">
      <alignment horizontal="center" vertical="center" wrapText="1"/>
    </xf>
    <xf numFmtId="0" fontId="72" fillId="0" borderId="57" xfId="37" applyFont="1" applyBorder="1" applyAlignment="1">
      <alignment horizontal="center" vertical="center" wrapText="1"/>
    </xf>
    <xf numFmtId="0" fontId="72" fillId="0" borderId="58" xfId="37" applyFont="1" applyBorder="1" applyAlignment="1">
      <alignment horizontal="center" vertical="center" wrapText="1"/>
    </xf>
    <xf numFmtId="0" fontId="72" fillId="0" borderId="12" xfId="37" applyFont="1" applyBorder="1" applyAlignment="1">
      <alignment horizontal="center" vertical="center" wrapText="1"/>
    </xf>
    <xf numFmtId="0" fontId="72" fillId="0" borderId="59" xfId="37" applyFont="1" applyBorder="1" applyAlignment="1">
      <alignment horizontal="center" vertical="center" wrapText="1"/>
    </xf>
    <xf numFmtId="0" fontId="72" fillId="0" borderId="13" xfId="37" applyFont="1" applyBorder="1" applyAlignment="1">
      <alignment horizontal="center" vertical="center" wrapText="1"/>
    </xf>
    <xf numFmtId="0" fontId="72" fillId="0" borderId="25" xfId="37" applyFont="1" applyBorder="1" applyAlignment="1">
      <alignment horizontal="center" vertical="center" wrapText="1"/>
    </xf>
    <xf numFmtId="0" fontId="72" fillId="0" borderId="75" xfId="37" applyFont="1" applyBorder="1" applyAlignment="1">
      <alignment horizontal="center" vertical="center" wrapText="1"/>
    </xf>
    <xf numFmtId="0" fontId="72" fillId="0" borderId="58" xfId="36" applyFont="1" applyBorder="1" applyAlignment="1">
      <alignment horizontal="center" vertical="center" wrapText="1"/>
    </xf>
    <xf numFmtId="0" fontId="72" fillId="0" borderId="12" xfId="36" applyFont="1" applyBorder="1" applyAlignment="1">
      <alignment horizontal="center" vertical="center" wrapText="1"/>
    </xf>
    <xf numFmtId="0" fontId="72" fillId="0" borderId="59" xfId="36" applyFont="1" applyBorder="1" applyAlignment="1">
      <alignment horizontal="center" vertical="center" wrapText="1"/>
    </xf>
    <xf numFmtId="0" fontId="72" fillId="0" borderId="13" xfId="36" applyFont="1" applyBorder="1" applyAlignment="1">
      <alignment horizontal="center" vertical="center" wrapText="1"/>
    </xf>
    <xf numFmtId="0" fontId="72" fillId="0" borderId="54" xfId="36" applyFont="1" applyBorder="1" applyAlignment="1">
      <alignment horizontal="center" vertical="center" wrapText="1"/>
    </xf>
    <xf numFmtId="0" fontId="72" fillId="0" borderId="44" xfId="36" applyFont="1" applyBorder="1" applyAlignment="1">
      <alignment horizontal="center" vertical="center" wrapText="1"/>
    </xf>
    <xf numFmtId="167" fontId="54" fillId="20" borderId="12" xfId="7" applyFont="1" applyFill="1" applyBorder="1" applyAlignment="1">
      <alignment horizontal="center" vertical="center" wrapText="1"/>
    </xf>
    <xf numFmtId="167" fontId="54" fillId="20" borderId="54" xfId="7" applyFont="1" applyFill="1" applyBorder="1" applyAlignment="1">
      <alignment horizontal="center" vertical="center" wrapText="1"/>
    </xf>
    <xf numFmtId="167" fontId="54" fillId="20" borderId="55" xfId="7" applyFont="1" applyFill="1" applyBorder="1" applyAlignment="1">
      <alignment horizontal="center" vertical="center" wrapText="1"/>
    </xf>
    <xf numFmtId="0" fontId="54" fillId="20" borderId="19" xfId="7" applyNumberFormat="1" applyFont="1" applyFill="1" applyBorder="1" applyAlignment="1">
      <alignment horizontal="center" vertical="center" wrapText="1"/>
    </xf>
    <xf numFmtId="0" fontId="54" fillId="20" borderId="21" xfId="7" applyNumberFormat="1" applyFont="1" applyFill="1" applyBorder="1" applyAlignment="1">
      <alignment horizontal="center" vertical="center" wrapText="1"/>
    </xf>
    <xf numFmtId="167" fontId="54" fillId="20" borderId="16" xfId="7" applyFont="1" applyFill="1" applyBorder="1" applyAlignment="1">
      <alignment horizontal="center" vertical="center" wrapText="1"/>
    </xf>
    <xf numFmtId="3" fontId="23" fillId="27" borderId="44" xfId="37" applyNumberFormat="1" applyFont="1" applyFill="1" applyBorder="1" applyAlignment="1" applyProtection="1">
      <alignment vertical="center" wrapText="1"/>
      <protection locked="0"/>
    </xf>
  </cellXfs>
  <cellStyles count="70">
    <cellStyle name="Collegamento ipertestuale" xfId="3" builtinId="8"/>
    <cellStyle name="Collegamento ipertestuale 2" xfId="44" xr:uid="{00000000-0005-0000-0000-000001000000}"/>
    <cellStyle name="ColLevel_1_BE (2)" xfId="15" xr:uid="{00000000-0005-0000-0000-000002000000}"/>
    <cellStyle name="Colore 3 2" xfId="53" xr:uid="{00000000-0005-0000-0000-000003000000}"/>
    <cellStyle name="Date" xfId="16" xr:uid="{00000000-0005-0000-0000-000004000000}"/>
    <cellStyle name="Euro" xfId="17" xr:uid="{00000000-0005-0000-0000-000005000000}"/>
    <cellStyle name="Euro 3 2" xfId="1" xr:uid="{00000000-0005-0000-0000-000006000000}"/>
    <cellStyle name="Excel Built-in Normal" xfId="37" xr:uid="{00000000-0005-0000-0000-000007000000}"/>
    <cellStyle name="Excel Built-in Normal 2" xfId="40" xr:uid="{00000000-0005-0000-0000-000008000000}"/>
    <cellStyle name="Followed Hyperlink" xfId="2" xr:uid="{00000000-0005-0000-0000-000009000000}"/>
    <cellStyle name="Migliaia" xfId="30" builtinId="3"/>
    <cellStyle name="Migliaia (0)_CDM_2nov99_TAsse" xfId="18" xr:uid="{00000000-0005-0000-0000-00000B000000}"/>
    <cellStyle name="Migliaia [0] 2" xfId="19" xr:uid="{00000000-0005-0000-0000-00000C000000}"/>
    <cellStyle name="Migliaia [0] 2 2" xfId="57" xr:uid="{00000000-0005-0000-0000-00000D000000}"/>
    <cellStyle name="Migliaia [0] 3" xfId="20" xr:uid="{00000000-0005-0000-0000-00000E000000}"/>
    <cellStyle name="Migliaia [0] 3 2" xfId="58" xr:uid="{00000000-0005-0000-0000-00000F000000}"/>
    <cellStyle name="Migliaia 10" xfId="4" xr:uid="{00000000-0005-0000-0000-000010000000}"/>
    <cellStyle name="Migliaia 10 2" xfId="5" xr:uid="{00000000-0005-0000-0000-000011000000}"/>
    <cellStyle name="Migliaia 10 2 2" xfId="55" xr:uid="{00000000-0005-0000-0000-000012000000}"/>
    <cellStyle name="Migliaia 10 3" xfId="54" xr:uid="{00000000-0005-0000-0000-000013000000}"/>
    <cellStyle name="Migliaia 11" xfId="6" xr:uid="{00000000-0005-0000-0000-000014000000}"/>
    <cellStyle name="Migliaia 11 2" xfId="56" xr:uid="{00000000-0005-0000-0000-000015000000}"/>
    <cellStyle name="Migliaia 2" xfId="12" xr:uid="{00000000-0005-0000-0000-000016000000}"/>
    <cellStyle name="Migliaia 2 2" xfId="33" xr:uid="{00000000-0005-0000-0000-000017000000}"/>
    <cellStyle name="Migliaia 2 2 2" xfId="47" xr:uid="{00000000-0005-0000-0000-000018000000}"/>
    <cellStyle name="Migliaia 2 3" xfId="39" xr:uid="{00000000-0005-0000-0000-000019000000}"/>
    <cellStyle name="Migliaia 2 3 2" xfId="62" xr:uid="{00000000-0005-0000-0000-00001A000000}"/>
    <cellStyle name="Migliaia 2 dec." xfId="21" xr:uid="{00000000-0005-0000-0000-00001B000000}"/>
    <cellStyle name="Migliaia 2 dec. 2" xfId="45" xr:uid="{00000000-0005-0000-0000-00001C000000}"/>
    <cellStyle name="Migliaia 3" xfId="60" xr:uid="{00000000-0005-0000-0000-00001D000000}"/>
    <cellStyle name="Neutrale 2" xfId="51" xr:uid="{00000000-0005-0000-0000-00001E000000}"/>
    <cellStyle name="New Times Roman" xfId="22" xr:uid="{00000000-0005-0000-0000-00001F000000}"/>
    <cellStyle name="Normale" xfId="0" builtinId="0" customBuiltin="1"/>
    <cellStyle name="Normale 17 2" xfId="7" xr:uid="{00000000-0005-0000-0000-000021000000}"/>
    <cellStyle name="Normale 17 2 3" xfId="8" xr:uid="{00000000-0005-0000-0000-000022000000}"/>
    <cellStyle name="Normale 17 2_foglio ulteriori specif x rocco_v2(1)" xfId="9" xr:uid="{00000000-0005-0000-0000-000023000000}"/>
    <cellStyle name="Normale 2" xfId="23" xr:uid="{00000000-0005-0000-0000-000024000000}"/>
    <cellStyle name="Normale 21 2" xfId="10" xr:uid="{00000000-0005-0000-0000-000025000000}"/>
    <cellStyle name="Normale 3" xfId="24" xr:uid="{00000000-0005-0000-0000-000026000000}"/>
    <cellStyle name="Normale 4" xfId="29" xr:uid="{00000000-0005-0000-0000-000027000000}"/>
    <cellStyle name="Normale 5" xfId="32" xr:uid="{00000000-0005-0000-0000-000028000000}"/>
    <cellStyle name="Normale 5 2" xfId="38" xr:uid="{00000000-0005-0000-0000-000029000000}"/>
    <cellStyle name="Normale 6" xfId="69" xr:uid="{00000000-0005-0000-0000-00002A000000}"/>
    <cellStyle name="Nota 2" xfId="25" xr:uid="{00000000-0005-0000-0000-00002B000000}"/>
    <cellStyle name="Nota 2 2" xfId="35" xr:uid="{00000000-0005-0000-0000-00002C000000}"/>
    <cellStyle name="Nota 2 2 2" xfId="49" xr:uid="{00000000-0005-0000-0000-00002D000000}"/>
    <cellStyle name="Nota 2 2 3" xfId="61" xr:uid="{00000000-0005-0000-0000-00002E000000}"/>
    <cellStyle name="Nota 2 3" xfId="46" xr:uid="{00000000-0005-0000-0000-00002F000000}"/>
    <cellStyle name="Nota 2 4" xfId="59" xr:uid="{00000000-0005-0000-0000-000030000000}"/>
    <cellStyle name="Nota 2 5" xfId="66" xr:uid="{00000000-0005-0000-0000-000031000000}"/>
    <cellStyle name="Output 2" xfId="52" xr:uid="{00000000-0005-0000-0000-000032000000}"/>
    <cellStyle name="Percentuale" xfId="31" builtinId="5"/>
    <cellStyle name="Percentuale 10 3" xfId="11" xr:uid="{00000000-0005-0000-0000-000034000000}"/>
    <cellStyle name="Percentuale 2" xfId="13" xr:uid="{00000000-0005-0000-0000-000035000000}"/>
    <cellStyle name="Percentuale 2 2" xfId="34" xr:uid="{00000000-0005-0000-0000-000036000000}"/>
    <cellStyle name="Percentuale 2 2 2" xfId="48" xr:uid="{00000000-0005-0000-0000-000037000000}"/>
    <cellStyle name="Percentuale 2 2 3" xfId="67" xr:uid="{00000000-0005-0000-0000-000038000000}"/>
    <cellStyle name="Percentuale 2 3" xfId="43" xr:uid="{00000000-0005-0000-0000-000039000000}"/>
    <cellStyle name="Percentuale 2 4" xfId="65" xr:uid="{00000000-0005-0000-0000-00003A000000}"/>
    <cellStyle name="Percentuale 3" xfId="14" xr:uid="{00000000-0005-0000-0000-00003B000000}"/>
    <cellStyle name="Puntato" xfId="26" xr:uid="{00000000-0005-0000-0000-00003C000000}"/>
    <cellStyle name="RowLevel_1_BE (2)" xfId="27" xr:uid="{00000000-0005-0000-0000-00003D000000}"/>
    <cellStyle name="Testo descrittivo 2" xfId="36" xr:uid="{00000000-0005-0000-0000-00003E000000}"/>
    <cellStyle name="Valuta (0)_CDM_2nov99_TAsse" xfId="28" xr:uid="{00000000-0005-0000-0000-00003F000000}"/>
    <cellStyle name="Valuta 2" xfId="41" xr:uid="{00000000-0005-0000-0000-000040000000}"/>
    <cellStyle name="Valuta 2 2" xfId="63" xr:uid="{00000000-0005-0000-0000-000041000000}"/>
    <cellStyle name="Valuta 3" xfId="42" xr:uid="{00000000-0005-0000-0000-000042000000}"/>
    <cellStyle name="Valuta 3 2" xfId="64" xr:uid="{00000000-0005-0000-0000-000043000000}"/>
    <cellStyle name="Valuta 4" xfId="50" xr:uid="{00000000-0005-0000-0000-000044000000}"/>
    <cellStyle name="Valuta 5" xfId="68" xr:uid="{00000000-0005-0000-0000-000045000000}"/>
  </cellStyles>
  <dxfs count="23">
    <dxf>
      <fill>
        <patternFill>
          <bgColor rgb="FF00B05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theme="5" tint="0.39994506668294322"/>
        </patternFill>
      </fill>
    </dxf>
    <dxf>
      <font>
        <strike val="0"/>
        <color rgb="FFC00000"/>
      </font>
      <fill>
        <patternFill>
          <bgColor theme="5" tint="0.59996337778862885"/>
        </patternFill>
      </fill>
    </dxf>
    <dxf>
      <font>
        <color theme="1"/>
      </font>
      <fill>
        <patternFill>
          <bgColor rgb="FF5ECE6B"/>
        </patternFill>
      </fill>
    </dxf>
    <dxf>
      <font>
        <strike val="0"/>
        <color rgb="FFC00000"/>
      </font>
      <fill>
        <patternFill>
          <bgColor theme="5" tint="0.59996337778862885"/>
        </patternFill>
      </fill>
    </dxf>
    <dxf>
      <font>
        <color theme="1"/>
      </font>
      <fill>
        <patternFill>
          <bgColor rgb="FF5ECE6B"/>
        </patternFill>
      </fill>
    </dxf>
    <dxf>
      <font>
        <strike val="0"/>
        <color rgb="FFC00000"/>
      </font>
      <fill>
        <patternFill>
          <bgColor theme="5" tint="0.59996337778862885"/>
        </patternFill>
      </fill>
    </dxf>
    <dxf>
      <font>
        <color theme="1"/>
      </font>
      <fill>
        <patternFill>
          <bgColor rgb="FF5ECE6B"/>
        </patternFill>
      </fill>
    </dxf>
    <dxf>
      <font>
        <strike val="0"/>
        <color rgb="FFC00000"/>
      </font>
      <fill>
        <patternFill>
          <bgColor theme="5" tint="0.59996337778862885"/>
        </patternFill>
      </fill>
    </dxf>
    <dxf>
      <font>
        <color theme="1"/>
      </font>
      <fill>
        <patternFill>
          <bgColor rgb="FF5ECE6B"/>
        </patternFill>
      </fill>
    </dxf>
    <dxf>
      <font>
        <b/>
        <i val="0"/>
        <color auto="1"/>
      </font>
      <fill>
        <gradientFill degree="45">
          <stop position="0">
            <color theme="4" tint="0.80001220740379042"/>
          </stop>
          <stop position="1">
            <color rgb="FFFF0000"/>
          </stop>
        </gradientFill>
      </fill>
      <border>
        <left style="dashDotDot">
          <color auto="1"/>
        </left>
        <right style="dashDotDot">
          <color auto="1"/>
        </right>
        <top style="dashDotDot">
          <color auto="1"/>
        </top>
        <bottom style="dashDotDot">
          <color auto="1"/>
        </bottom>
        <vertical/>
        <horizontal/>
      </border>
    </dxf>
    <dxf>
      <font>
        <b/>
        <i val="0"/>
        <color auto="1"/>
      </font>
      <fill>
        <gradientFill degree="45">
          <stop position="0">
            <color theme="4" tint="0.80001220740379042"/>
          </stop>
          <stop position="1">
            <color rgb="FFFF0000"/>
          </stop>
        </gradientFill>
      </fill>
      <border>
        <left style="dashDotDot">
          <color auto="1"/>
        </left>
        <right style="dashDotDot">
          <color auto="1"/>
        </right>
        <top style="dashDotDot">
          <color auto="1"/>
        </top>
        <bottom style="dashDotDot">
          <color auto="1"/>
        </bottom>
        <vertical/>
        <horizontal/>
      </border>
    </dxf>
    <dxf>
      <font>
        <b/>
        <i val="0"/>
        <color auto="1"/>
      </font>
      <fill>
        <gradientFill degree="45">
          <stop position="0">
            <color theme="4" tint="0.80001220740379042"/>
          </stop>
          <stop position="1">
            <color rgb="FFFF0000"/>
          </stop>
        </gradientFill>
      </fill>
      <border>
        <left style="dashDotDot">
          <color auto="1"/>
        </left>
        <right style="dashDotDot">
          <color auto="1"/>
        </right>
        <top style="dashDotDot">
          <color auto="1"/>
        </top>
        <bottom style="dashDotDot">
          <color auto="1"/>
        </bottom>
        <vertical/>
        <horizontal/>
      </border>
    </dxf>
  </dxfs>
  <tableStyles count="0" defaultTableStyle="TableStyleMedium2" defaultPivotStyle="PivotStyleMedium9"/>
  <colors>
    <mruColors>
      <color rgb="FFFFFFCC"/>
      <color rgb="FFFFFF00"/>
      <color rgb="FFD9D9D9"/>
      <color rgb="FFE26B0A"/>
      <color rgb="FF5ECE6B"/>
      <color rgb="FFFEF1E6"/>
      <color rgb="FFE8F5F8"/>
      <color rgb="FF66FF99"/>
      <color rgb="FFC5D9F1"/>
      <color rgb="FFFDE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39688</xdr:rowOff>
    </xdr:from>
    <xdr:to>
      <xdr:col>5</xdr:col>
      <xdr:colOff>2984500</xdr:colOff>
      <xdr:row>0</xdr:row>
      <xdr:rowOff>849313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7223125" y="39688"/>
          <a:ext cx="2936875" cy="8096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per i soli soggetti che hanno precedentemente formulato istanza ai sensi del co. 5.3, lett. a) (aggregazioni gestionali), i dati richiesti sono relativi al solo perimetro di valutazione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39688</xdr:colOff>
      <xdr:row>0</xdr:row>
      <xdr:rowOff>31750</xdr:rowOff>
    </xdr:from>
    <xdr:to>
      <xdr:col>5</xdr:col>
      <xdr:colOff>2976563</xdr:colOff>
      <xdr:row>0</xdr:row>
      <xdr:rowOff>841375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215188" y="31750"/>
          <a:ext cx="2936875" cy="8096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per i soli soggetti che hanno precedentemente formulato istanza ai sensi del co. 5.3, lett. a) (aggregazioni gestionali), i dati richiesti sono relativi al solo perimetro di valutazione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63500</xdr:colOff>
      <xdr:row>0</xdr:row>
      <xdr:rowOff>47625</xdr:rowOff>
    </xdr:from>
    <xdr:to>
      <xdr:col>5</xdr:col>
      <xdr:colOff>3000375</xdr:colOff>
      <xdr:row>0</xdr:row>
      <xdr:rowOff>857250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7239000" y="47625"/>
          <a:ext cx="2936875" cy="8096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per i soli soggetti che hanno precedentemente formulato istanza ai sensi del co. 5.3, lett. a) (aggregazioni gestionali), i dati richiesti sono relativi al solo perimetro di valutazione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0</xdr:colOff>
      <xdr:row>1</xdr:row>
      <xdr:rowOff>547686</xdr:rowOff>
    </xdr:from>
    <xdr:ext cx="5195" cy="176688"/>
    <xdr:pic>
      <xdr:nvPicPr>
        <xdr:cNvPr id="2" name="irc_mi" descr="Risultati immagini per immagini di ok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67324" y="1437148"/>
          <a:ext cx="5195" cy="1766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11</xdr:col>
      <xdr:colOff>0</xdr:colOff>
      <xdr:row>121</xdr:row>
      <xdr:rowOff>0</xdr:rowOff>
    </xdr:from>
    <xdr:ext cx="14288" cy="169105"/>
    <xdr:pic>
      <xdr:nvPicPr>
        <xdr:cNvPr id="9" name="Immagine 8" descr="Immagine correlata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13491" y="44256960"/>
          <a:ext cx="14288" cy="1691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230187</xdr:colOff>
      <xdr:row>3</xdr:row>
      <xdr:rowOff>95248</xdr:rowOff>
    </xdr:from>
    <xdr:to>
      <xdr:col>12</xdr:col>
      <xdr:colOff>142875</xdr:colOff>
      <xdr:row>12</xdr:row>
      <xdr:rowOff>95249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8526462" y="1628773"/>
          <a:ext cx="3932238" cy="2381251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it-IT" sz="1200" b="1">
              <a:solidFill>
                <a:schemeClr val="tx2"/>
              </a:solidFill>
            </a:rPr>
            <a:t>(*)  la valutazione sul raggiungimento o meno dell'obiettivo calcolato nel presente foglio può non corrispondere alle eventuali condizioni specifiche in cui si trova la gestione (ad esempio in casi di: obiettivo di rientro nella classe precedente in due anni, raggiungimento degli obiettivi previsti per il macro-indicatore M5 ove vi sia contestualmente il peggioramento della classe dello stesso) - Ai sensi della delibera 235/2020/R/idr, costituisce elemento di valutazione il livello raggiunto cumulativamente al termine dell’anno 2021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F14"/>
  <sheetViews>
    <sheetView showGridLines="0" zoomScale="80" zoomScaleNormal="80" workbookViewId="0">
      <selection activeCell="E6" sqref="E6"/>
    </sheetView>
  </sheetViews>
  <sheetFormatPr defaultColWidth="9.140625" defaultRowHeight="15" x14ac:dyDescent="0.25"/>
  <cols>
    <col min="1" max="1" width="3.85546875" customWidth="1"/>
    <col min="2" max="2" width="18.140625" customWidth="1"/>
    <col min="3" max="3" width="45.85546875" customWidth="1"/>
    <col min="4" max="4" width="0.5703125" customWidth="1"/>
    <col min="5" max="5" width="21.85546875" customWidth="1"/>
    <col min="6" max="6" width="45.85546875" customWidth="1"/>
  </cols>
  <sheetData>
    <row r="1" spans="1:6" ht="24.95" customHeight="1" x14ac:dyDescent="0.25">
      <c r="A1" s="19"/>
      <c r="B1" s="648" t="s">
        <v>0</v>
      </c>
      <c r="C1" s="648"/>
      <c r="D1" s="648"/>
      <c r="E1" s="648"/>
      <c r="F1" s="648"/>
    </row>
    <row r="2" spans="1:6" ht="15" customHeight="1" x14ac:dyDescent="0.25">
      <c r="A2" s="15"/>
      <c r="B2" s="23" t="s">
        <v>1</v>
      </c>
      <c r="C2" s="23"/>
      <c r="D2" s="24"/>
      <c r="E2" s="23" t="s">
        <v>2</v>
      </c>
      <c r="F2" s="23"/>
    </row>
    <row r="3" spans="1:6" ht="17.850000000000001" customHeight="1" x14ac:dyDescent="0.25">
      <c r="A3" s="19"/>
      <c r="B3" s="21" t="s">
        <v>3</v>
      </c>
      <c r="C3" s="20" t="s">
        <v>1</v>
      </c>
      <c r="D3" s="22" t="s">
        <v>4</v>
      </c>
      <c r="E3" s="21" t="s">
        <v>5</v>
      </c>
      <c r="F3" s="20" t="s">
        <v>6</v>
      </c>
    </row>
    <row r="4" spans="1:6" ht="28.35" customHeight="1" x14ac:dyDescent="0.25">
      <c r="A4" s="19"/>
      <c r="B4" s="17">
        <v>801</v>
      </c>
      <c r="C4" s="16" t="str">
        <f>IF(B4="","",VLOOKUP(B4,'TT_Gestori-ATO'!$B:$C,2,FALSE))</f>
        <v>ATO 1 - PIACENZA</v>
      </c>
      <c r="D4" s="18"/>
      <c r="E4" s="17">
        <v>3045</v>
      </c>
      <c r="F4" s="16" t="str">
        <f>IF(E4="","",VLOOKUP(E4,'TT_Gestori-ATO'!$F:$G,2,FALSE))</f>
        <v>IRETI S.p.A.</v>
      </c>
    </row>
    <row r="5" spans="1:6" ht="28.35" customHeight="1" x14ac:dyDescent="0.25">
      <c r="A5" s="19"/>
      <c r="B5" s="13"/>
      <c r="C5" s="13"/>
      <c r="D5" s="13"/>
      <c r="E5" s="13"/>
      <c r="F5" s="13"/>
    </row>
    <row r="6" spans="1:6" ht="29.25" customHeight="1" x14ac:dyDescent="0.3">
      <c r="A6" s="15"/>
      <c r="B6" s="15"/>
      <c r="C6" s="15"/>
      <c r="D6" s="15"/>
      <c r="E6" s="15"/>
      <c r="F6" s="14"/>
    </row>
    <row r="7" spans="1:6" ht="19.5" thickBot="1" x14ac:dyDescent="0.35">
      <c r="C7" s="25" t="s">
        <v>7</v>
      </c>
      <c r="D7" s="19"/>
      <c r="E7" s="15"/>
      <c r="F7" s="15"/>
    </row>
    <row r="8" spans="1:6" ht="30" customHeight="1" thickTop="1" x14ac:dyDescent="0.25">
      <c r="B8" s="642" t="s">
        <v>8</v>
      </c>
      <c r="C8" s="649" t="s">
        <v>9</v>
      </c>
      <c r="D8" s="650"/>
      <c r="E8" s="650"/>
      <c r="F8" s="651"/>
    </row>
    <row r="9" spans="1:6" ht="30" customHeight="1" x14ac:dyDescent="0.25">
      <c r="B9" s="643"/>
      <c r="C9" s="652" t="s">
        <v>10</v>
      </c>
      <c r="D9" s="653"/>
      <c r="E9" s="653"/>
      <c r="F9" s="654"/>
    </row>
    <row r="10" spans="1:6" ht="30" customHeight="1" thickBot="1" x14ac:dyDescent="0.3">
      <c r="B10" s="644"/>
      <c r="C10" s="655" t="s">
        <v>11</v>
      </c>
      <c r="D10" s="656"/>
      <c r="E10" s="656"/>
      <c r="F10" s="657"/>
    </row>
    <row r="11" spans="1:6" ht="30" customHeight="1" thickTop="1" thickBot="1" x14ac:dyDescent="0.3">
      <c r="B11" s="606" t="s">
        <v>12</v>
      </c>
      <c r="C11" s="645" t="s">
        <v>13</v>
      </c>
      <c r="D11" s="646"/>
      <c r="E11" s="646"/>
      <c r="F11" s="647"/>
    </row>
    <row r="12" spans="1:6" ht="30" customHeight="1" thickTop="1" thickBot="1" x14ac:dyDescent="0.3">
      <c r="B12" s="601"/>
      <c r="C12" s="639" t="s">
        <v>14</v>
      </c>
      <c r="D12" s="640"/>
      <c r="E12" s="640"/>
      <c r="F12" s="641"/>
    </row>
    <row r="13" spans="1:6" ht="20.100000000000001" customHeight="1" thickTop="1" x14ac:dyDescent="0.25"/>
    <row r="14" spans="1:6" ht="20.100000000000001" customHeight="1" x14ac:dyDescent="0.25"/>
  </sheetData>
  <sheetProtection sheet="1" objects="1" scenarios="1"/>
  <mergeCells count="7">
    <mergeCell ref="C12:F12"/>
    <mergeCell ref="B8:B10"/>
    <mergeCell ref="C11:F11"/>
    <mergeCell ref="B1:F1"/>
    <mergeCell ref="C8:F8"/>
    <mergeCell ref="C9:F9"/>
    <mergeCell ref="C10:F10"/>
  </mergeCells>
  <conditionalFormatting sqref="C12 C9:F10">
    <cfRule type="expression" dxfId="22" priority="56">
      <formula>#REF!="X"</formula>
    </cfRule>
  </conditionalFormatting>
  <conditionalFormatting sqref="C11:F11">
    <cfRule type="expression" dxfId="21" priority="2">
      <formula>#REF!="X"</formula>
    </cfRule>
  </conditionalFormatting>
  <conditionalFormatting sqref="C8:F8">
    <cfRule type="expression" dxfId="20" priority="1">
      <formula>#REF!="X"</formula>
    </cfRule>
  </conditionalFormatting>
  <hyperlinks>
    <hyperlink ref="C8:F8" location="'QT-Acquedotto'!A1" display="Qualità Tecnica: Acquedotto (dati 2020 e 2021)" xr:uid="{00000000-0004-0000-0000-000000000000}"/>
    <hyperlink ref="C9:F9" location="'QT-Fognatura'!A1" display="Qualità Tecnica: Fognatura (dati 2020 e 2021)" xr:uid="{00000000-0004-0000-0000-000001000000}"/>
    <hyperlink ref="C10:F10" location="'QT-Depurazione'!A1" display="Qualità Tecnica: Depurazione (dati 2020 e 2021)" xr:uid="{00000000-0004-0000-0000-000002000000}"/>
    <hyperlink ref="C12:F12" location="'Riepilogo RQTI'!A1" display="Riepilogo RQTI: valori dei macro-indicatori ed obiettivi" xr:uid="{00000000-0004-0000-0000-000003000000}"/>
    <hyperlink ref="C11:F11" location="'QT-Altri dati'!A1" display="Altri dati (anni 2018 e 2019)" xr:uid="{00000000-0004-0000-0000-000004000000}"/>
  </hyperlinks>
  <pageMargins left="0.70866141732283472" right="0.70866141732283472" top="0.74803149606299213" bottom="0.74803149606299213" header="0.31496062992125984" footer="0.31496062992125984"/>
  <pageSetup paperSize="8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RRORE DI INSERIMENTO" error="Inserito dato errato!!" xr:uid="{00000000-0002-0000-0000-000000000000}">
          <x14:formula1>
            <xm:f>'TT_Gestori-ATO'!$F$3:$F$2246</xm:f>
          </x14:formula1>
          <xm:sqref>E4</xm:sqref>
        </x14:dataValidation>
        <x14:dataValidation type="list" showErrorMessage="1" errorTitle="ERRORE DI INSERIMENTO" error="Inserito dato errato!!" xr:uid="{00000000-0002-0000-0000-000001000000}">
          <x14:formula1>
            <xm:f>'TT_Gestori-ATO'!$B$3:$B$97</xm:f>
          </x14:formula1>
          <xm:sqref>B4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>
    <tabColor theme="4" tint="0.39997558519241921"/>
    <pageSetUpPr fitToPage="1"/>
  </sheetPr>
  <dimension ref="A1:L154"/>
  <sheetViews>
    <sheetView showGridLines="0" tabSelected="1" zoomScale="86" zoomScaleNormal="86" workbookViewId="0">
      <pane xSplit="3" ySplit="2" topLeftCell="D69" activePane="bottomRight" state="frozen"/>
      <selection pane="topRight" activeCell="B4" sqref="B4"/>
      <selection pane="bottomLeft" activeCell="B4" sqref="B4"/>
      <selection pane="bottomRight" activeCell="F73" sqref="F73"/>
    </sheetView>
  </sheetViews>
  <sheetFormatPr defaultColWidth="8.85546875" defaultRowHeight="15" x14ac:dyDescent="0.25"/>
  <cols>
    <col min="1" max="1" width="12.85546875" customWidth="1"/>
    <col min="2" max="2" width="50.85546875" style="70" customWidth="1"/>
    <col min="3" max="3" width="9.85546875" customWidth="1"/>
    <col min="4" max="5" width="14.85546875" customWidth="1"/>
    <col min="6" max="6" width="50.85546875" style="31" customWidth="1"/>
    <col min="7" max="7" width="2.85546875" style="31" customWidth="1"/>
    <col min="8" max="9" width="25.85546875" style="31" customWidth="1"/>
    <col min="10" max="10" width="2.85546875" style="31" customWidth="1"/>
    <col min="11" max="12" width="20.85546875" style="53" customWidth="1"/>
  </cols>
  <sheetData>
    <row r="1" spans="1:12" ht="69.95" customHeight="1" thickBot="1" x14ac:dyDescent="0.3">
      <c r="A1" s="28"/>
      <c r="B1" s="29" t="s">
        <v>15</v>
      </c>
      <c r="C1" s="28"/>
      <c r="D1" s="30"/>
      <c r="E1" s="30"/>
      <c r="K1" s="229" t="s">
        <v>16</v>
      </c>
      <c r="L1" s="379" t="s">
        <v>17</v>
      </c>
    </row>
    <row r="2" spans="1:12" ht="70.349999999999994" customHeight="1" thickBot="1" x14ac:dyDescent="0.3">
      <c r="A2" s="32" t="s">
        <v>18</v>
      </c>
      <c r="B2" s="33" t="s">
        <v>19</v>
      </c>
      <c r="C2" s="34" t="s">
        <v>20</v>
      </c>
      <c r="D2" s="306" t="s">
        <v>21</v>
      </c>
      <c r="E2" s="307" t="s">
        <v>22</v>
      </c>
      <c r="F2" s="36" t="s">
        <v>23</v>
      </c>
      <c r="H2" s="209" t="s">
        <v>24</v>
      </c>
      <c r="I2" s="381" t="s">
        <v>25</v>
      </c>
      <c r="K2" s="230">
        <f>SUM(K3:K145)</f>
        <v>0</v>
      </c>
      <c r="L2" s="380">
        <f>SUM(L3:L145)</f>
        <v>0</v>
      </c>
    </row>
    <row r="3" spans="1:12" ht="32.1" customHeight="1" x14ac:dyDescent="0.25">
      <c r="A3" s="37" t="s">
        <v>26</v>
      </c>
      <c r="B3" s="38" t="s">
        <v>27</v>
      </c>
      <c r="C3" s="39" t="s">
        <v>28</v>
      </c>
      <c r="D3" s="2" t="s">
        <v>29</v>
      </c>
      <c r="E3" s="300" t="s">
        <v>29</v>
      </c>
      <c r="F3" s="6" t="s">
        <v>30</v>
      </c>
      <c r="H3" s="220"/>
      <c r="I3" s="376"/>
      <c r="K3" s="40">
        <f t="shared" ref="K3:K32" si="0">IF(H3="",0,1)</f>
        <v>0</v>
      </c>
      <c r="L3" s="40">
        <f t="shared" ref="L3:L32" si="1">IF(I3="",0,1)</f>
        <v>0</v>
      </c>
    </row>
    <row r="4" spans="1:12" ht="25.35" customHeight="1" x14ac:dyDescent="0.25">
      <c r="A4" s="231" t="s">
        <v>31</v>
      </c>
      <c r="B4" s="151" t="s">
        <v>32</v>
      </c>
      <c r="C4" s="232" t="s">
        <v>28</v>
      </c>
      <c r="D4" s="176" t="s">
        <v>33</v>
      </c>
      <c r="E4" s="297" t="s">
        <v>33</v>
      </c>
      <c r="F4" s="623"/>
      <c r="H4" s="210"/>
      <c r="I4" s="374"/>
      <c r="K4" s="40">
        <f t="shared" si="0"/>
        <v>0</v>
      </c>
      <c r="L4" s="40">
        <f t="shared" si="1"/>
        <v>0</v>
      </c>
    </row>
    <row r="5" spans="1:12" ht="25.35" customHeight="1" x14ac:dyDescent="0.25">
      <c r="A5" s="231" t="s">
        <v>34</v>
      </c>
      <c r="B5" s="151" t="s">
        <v>35</v>
      </c>
      <c r="C5" s="232" t="s">
        <v>28</v>
      </c>
      <c r="D5" s="176" t="s">
        <v>33</v>
      </c>
      <c r="E5" s="297" t="s">
        <v>33</v>
      </c>
      <c r="F5" s="623"/>
      <c r="H5" s="210"/>
      <c r="I5" s="374"/>
      <c r="K5" s="40">
        <f t="shared" si="0"/>
        <v>0</v>
      </c>
      <c r="L5" s="40">
        <f t="shared" si="1"/>
        <v>0</v>
      </c>
    </row>
    <row r="6" spans="1:12" ht="25.35" customHeight="1" x14ac:dyDescent="0.25">
      <c r="A6" s="231" t="s">
        <v>36</v>
      </c>
      <c r="B6" s="151" t="s">
        <v>37</v>
      </c>
      <c r="C6" s="232" t="s">
        <v>28</v>
      </c>
      <c r="D6" s="176" t="s">
        <v>33</v>
      </c>
      <c r="E6" s="297" t="s">
        <v>33</v>
      </c>
      <c r="F6" s="623"/>
      <c r="H6" s="210"/>
      <c r="I6" s="374"/>
      <c r="K6" s="40">
        <f t="shared" si="0"/>
        <v>0</v>
      </c>
      <c r="L6" s="40">
        <f t="shared" si="1"/>
        <v>0</v>
      </c>
    </row>
    <row r="7" spans="1:12" ht="25.35" customHeight="1" x14ac:dyDescent="0.25">
      <c r="A7" s="231" t="s">
        <v>38</v>
      </c>
      <c r="B7" s="151" t="s">
        <v>39</v>
      </c>
      <c r="C7" s="232" t="s">
        <v>28</v>
      </c>
      <c r="D7" s="176" t="s">
        <v>33</v>
      </c>
      <c r="E7" s="297" t="s">
        <v>33</v>
      </c>
      <c r="F7" s="623" t="s">
        <v>30</v>
      </c>
      <c r="H7" s="210"/>
      <c r="I7" s="374"/>
      <c r="K7" s="40">
        <f t="shared" si="0"/>
        <v>0</v>
      </c>
      <c r="L7" s="40">
        <f t="shared" si="1"/>
        <v>0</v>
      </c>
    </row>
    <row r="8" spans="1:12" ht="30" customHeight="1" x14ac:dyDescent="0.25">
      <c r="A8" s="231" t="s">
        <v>40</v>
      </c>
      <c r="B8" s="138" t="s">
        <v>41</v>
      </c>
      <c r="C8" s="233" t="s">
        <v>42</v>
      </c>
      <c r="D8" s="26">
        <v>258350.40862789491</v>
      </c>
      <c r="E8" s="241">
        <v>255991.95450848155</v>
      </c>
      <c r="F8" s="611" t="s">
        <v>43</v>
      </c>
      <c r="H8" s="617" t="str">
        <f>IF(D$7="X",IF(D8&lt;=0,"Il valore deve essere maggiore di zero",""),IF(D8&lt;&gt;"","Non risulta gestita la distribuzione",""))</f>
        <v/>
      </c>
      <c r="I8" s="618" t="str">
        <f>IF(E$7="X",IF(E8&lt;=0,"Il valore deve essere maggiore di zero",""),IF(E8&lt;&gt;"","Non risulta gestita la distribuzione",""))</f>
        <v/>
      </c>
      <c r="K8" s="40">
        <f t="shared" si="0"/>
        <v>0</v>
      </c>
      <c r="L8" s="40">
        <f t="shared" si="1"/>
        <v>0</v>
      </c>
    </row>
    <row r="9" spans="1:12" ht="30" customHeight="1" x14ac:dyDescent="0.25">
      <c r="A9" s="231" t="s">
        <v>44</v>
      </c>
      <c r="B9" s="138" t="s">
        <v>45</v>
      </c>
      <c r="C9" s="233" t="s">
        <v>42</v>
      </c>
      <c r="D9" s="26">
        <v>26375</v>
      </c>
      <c r="E9" s="241">
        <v>26375</v>
      </c>
      <c r="F9" s="611" t="s">
        <v>43</v>
      </c>
      <c r="H9" s="617" t="str">
        <f>IF(D9&lt;0,"Il valore deve essere maggiore o uguale a zero","")</f>
        <v/>
      </c>
      <c r="I9" s="618" t="str">
        <f>IF(E9&lt;0,"Il valore deve essere maggiore o uguale a zero","")</f>
        <v/>
      </c>
      <c r="K9" s="40">
        <f t="shared" si="0"/>
        <v>0</v>
      </c>
      <c r="L9" s="40">
        <f t="shared" si="1"/>
        <v>0</v>
      </c>
    </row>
    <row r="10" spans="1:12" ht="30" customHeight="1" x14ac:dyDescent="0.25">
      <c r="A10" s="280" t="s">
        <v>46</v>
      </c>
      <c r="B10" s="257" t="s">
        <v>47</v>
      </c>
      <c r="C10" s="235" t="s">
        <v>48</v>
      </c>
      <c r="D10" s="26">
        <v>46</v>
      </c>
      <c r="E10" s="241">
        <v>46</v>
      </c>
      <c r="F10" s="611" t="s">
        <v>43</v>
      </c>
      <c r="H10" s="617" t="str">
        <f>IF(D$7="X",IF(D10&lt;=0,"Il valore deve essere maggiore di zero",""),IF(D10&lt;&gt;"","Non risulta gestita la distribuzione",""))</f>
        <v/>
      </c>
      <c r="I10" s="618" t="str">
        <f>IF(E$7="X",IF(E10&lt;=0,"Il valore deve essere maggiore di zero",""),IF(E10&lt;&gt;"","Non risulta gestita la distribuzione",""))</f>
        <v/>
      </c>
      <c r="K10" s="40">
        <f t="shared" si="0"/>
        <v>0</v>
      </c>
      <c r="L10" s="40">
        <f t="shared" si="1"/>
        <v>0</v>
      </c>
    </row>
    <row r="11" spans="1:12" ht="30" customHeight="1" x14ac:dyDescent="0.25">
      <c r="A11" s="280" t="s">
        <v>49</v>
      </c>
      <c r="B11" s="257" t="s">
        <v>50</v>
      </c>
      <c r="C11" s="235" t="s">
        <v>51</v>
      </c>
      <c r="D11" s="26">
        <v>2589</v>
      </c>
      <c r="E11" s="241">
        <v>2589</v>
      </c>
      <c r="F11" s="611" t="s">
        <v>43</v>
      </c>
      <c r="H11" s="617" t="str">
        <f>IF(D$7="X",IF(D11&lt;=0,"Il valore deve essere maggiore di zero",""),IF(D11&lt;&gt;"","Non risulta gestita la distribuzione",""))</f>
        <v/>
      </c>
      <c r="I11" s="618" t="str">
        <f>IF(E$7="X",IF(E11&lt;=0,"Il valore deve essere maggiore di zero",""),IF(E11&lt;&gt;"","Non risulta gestita la distribuzione",""))</f>
        <v/>
      </c>
      <c r="K11" s="40">
        <f t="shared" si="0"/>
        <v>0</v>
      </c>
      <c r="L11" s="40">
        <f t="shared" si="1"/>
        <v>0</v>
      </c>
    </row>
    <row r="12" spans="1:12" s="44" customFormat="1" ht="35.25" customHeight="1" x14ac:dyDescent="0.25">
      <c r="A12" s="243" t="s">
        <v>52</v>
      </c>
      <c r="B12" s="143" t="s">
        <v>53</v>
      </c>
      <c r="C12" s="301" t="s">
        <v>54</v>
      </c>
      <c r="D12" s="26">
        <v>17941598</v>
      </c>
      <c r="E12" s="241">
        <v>18564772</v>
      </c>
      <c r="F12" s="623" t="s">
        <v>55</v>
      </c>
      <c r="G12" s="31"/>
      <c r="H12" s="617" t="str">
        <f>IF(D12&lt;0,"Il valore deve essere maggiore o uguale a zero","")</f>
        <v/>
      </c>
      <c r="I12" s="618" t="str">
        <f>IF(E12&lt;0,"Il valore deve essere maggiore o uguale a zero","")</f>
        <v/>
      </c>
      <c r="J12" s="31"/>
      <c r="K12" s="40">
        <f t="shared" si="0"/>
        <v>0</v>
      </c>
      <c r="L12" s="40">
        <f t="shared" si="1"/>
        <v>0</v>
      </c>
    </row>
    <row r="13" spans="1:12" s="44" customFormat="1" ht="55.5" customHeight="1" thickBot="1" x14ac:dyDescent="0.3">
      <c r="A13" s="271" t="s">
        <v>56</v>
      </c>
      <c r="B13" s="276" t="s">
        <v>57</v>
      </c>
      <c r="C13" s="302" t="s">
        <v>54</v>
      </c>
      <c r="D13" s="274">
        <v>63490</v>
      </c>
      <c r="E13" s="624">
        <v>80421</v>
      </c>
      <c r="F13" s="10" t="s">
        <v>58</v>
      </c>
      <c r="G13" s="31"/>
      <c r="H13" s="211" t="str">
        <f>IF(D13&lt;0,"Il valore deve essere maggiore o uguale a zero","")</f>
        <v/>
      </c>
      <c r="I13" s="375" t="str">
        <f>IF(E13&lt;0,"Il valore deve essere maggiore o uguale a zero","")</f>
        <v/>
      </c>
      <c r="J13" s="31"/>
      <c r="K13" s="40">
        <f t="shared" si="0"/>
        <v>0</v>
      </c>
      <c r="L13" s="40">
        <f t="shared" si="1"/>
        <v>0</v>
      </c>
    </row>
    <row r="14" spans="1:12" s="44" customFormat="1" ht="10.5" customHeight="1" x14ac:dyDescent="0.25">
      <c r="A14" s="41"/>
      <c r="B14" s="42"/>
      <c r="C14" s="41"/>
      <c r="D14" s="41"/>
      <c r="E14" s="41"/>
      <c r="F14" s="203"/>
      <c r="G14" s="31"/>
      <c r="H14" s="43"/>
      <c r="I14" s="43"/>
      <c r="J14" s="31"/>
      <c r="K14" s="40">
        <f t="shared" si="0"/>
        <v>0</v>
      </c>
      <c r="L14" s="40">
        <f t="shared" si="1"/>
        <v>0</v>
      </c>
    </row>
    <row r="15" spans="1:12" s="44" customFormat="1" ht="18" thickBot="1" x14ac:dyDescent="0.3">
      <c r="A15" s="45" t="s">
        <v>59</v>
      </c>
      <c r="B15" s="42"/>
      <c r="C15" s="41"/>
      <c r="D15" s="41"/>
      <c r="E15" s="637"/>
      <c r="F15" s="203"/>
      <c r="G15" s="31"/>
      <c r="H15" s="43"/>
      <c r="I15" s="43"/>
      <c r="J15" s="31"/>
      <c r="K15" s="40">
        <f t="shared" si="0"/>
        <v>0</v>
      </c>
      <c r="L15" s="40">
        <f t="shared" si="1"/>
        <v>0</v>
      </c>
    </row>
    <row r="16" spans="1:12" s="44" customFormat="1" ht="35.25" customHeight="1" x14ac:dyDescent="0.25">
      <c r="A16" s="46" t="s">
        <v>60</v>
      </c>
      <c r="B16" s="47" t="s">
        <v>61</v>
      </c>
      <c r="C16" s="48" t="s">
        <v>62</v>
      </c>
      <c r="D16" s="1">
        <v>34735882</v>
      </c>
      <c r="E16" s="397">
        <v>35466514.553945005</v>
      </c>
      <c r="F16" s="347" t="s">
        <v>63</v>
      </c>
      <c r="G16" s="31"/>
      <c r="H16" s="212" t="str">
        <f>IF(D$3="SI",IF(D16&lt;=0,"Il valore deve essere maggiore di zero",""),IF(D16&lt;&gt;"","Non risulta gestito il servizio di acquedotto",""))</f>
        <v/>
      </c>
      <c r="I16" s="372" t="str">
        <f>IF(E$3="SI",IF(E16&lt;=0,"Il valore deve essere maggiore di zero",""),IF(E16&lt;&gt;"","Non risulta gestito il servizio di acquedotto",""))</f>
        <v/>
      </c>
      <c r="J16" s="31"/>
      <c r="K16" s="40">
        <f t="shared" si="0"/>
        <v>0</v>
      </c>
      <c r="L16" s="40">
        <f t="shared" si="1"/>
        <v>0</v>
      </c>
    </row>
    <row r="17" spans="1:12" s="44" customFormat="1" ht="30" customHeight="1" x14ac:dyDescent="0.25">
      <c r="A17" s="237" t="s">
        <v>64</v>
      </c>
      <c r="B17" s="109" t="s">
        <v>65</v>
      </c>
      <c r="C17" s="49" t="s">
        <v>62</v>
      </c>
      <c r="D17" s="169">
        <v>32799098</v>
      </c>
      <c r="E17" s="394">
        <v>35007350</v>
      </c>
      <c r="F17" s="366"/>
      <c r="G17" s="31"/>
      <c r="H17" s="617" t="str">
        <f>IF(OR(D17&lt;0,D17&gt;D16),"Il valore deve essere maggiore o uguale a zero e minore o uguale a WPtot","")</f>
        <v/>
      </c>
      <c r="I17" s="618" t="str">
        <f>IF(OR(E17&lt;0,E17&gt;E16),"Il valore deve essere maggiore o uguale a zero e minore o uguale a WPtot","")</f>
        <v/>
      </c>
      <c r="J17" s="31"/>
      <c r="K17" s="40">
        <f t="shared" si="0"/>
        <v>0</v>
      </c>
      <c r="L17" s="40">
        <f t="shared" si="1"/>
        <v>0</v>
      </c>
    </row>
    <row r="18" spans="1:12" s="44" customFormat="1" ht="30" customHeight="1" x14ac:dyDescent="0.25">
      <c r="A18" s="238" t="s">
        <v>66</v>
      </c>
      <c r="B18" s="136" t="s">
        <v>67</v>
      </c>
      <c r="C18" s="50" t="s">
        <v>68</v>
      </c>
      <c r="D18" s="239">
        <f t="shared" ref="D18:E18" si="2">IF(AND(D16&gt;0,D17&gt;=0,D17&lt;=D16),D17/D16,"")</f>
        <v>0.94424255586773354</v>
      </c>
      <c r="E18" s="398">
        <f t="shared" si="2"/>
        <v>0.98705357547196781</v>
      </c>
      <c r="F18" s="366" t="s">
        <v>69</v>
      </c>
      <c r="G18" s="31"/>
      <c r="H18" s="617" t="str">
        <f>IF(AND(D$3="SI",D18=""),"Indicatore non calcolabile","")</f>
        <v/>
      </c>
      <c r="I18" s="618" t="str">
        <f>IF(AND(E$3="SI",E18=""),"Indicatore non calcolabile","")</f>
        <v/>
      </c>
      <c r="J18" s="31"/>
      <c r="K18" s="40">
        <f t="shared" si="0"/>
        <v>0</v>
      </c>
      <c r="L18" s="40">
        <f t="shared" si="1"/>
        <v>0</v>
      </c>
    </row>
    <row r="19" spans="1:12" s="44" customFormat="1" ht="51" x14ac:dyDescent="0.25">
      <c r="A19" s="237" t="s">
        <v>70</v>
      </c>
      <c r="B19" s="109" t="s">
        <v>71</v>
      </c>
      <c r="C19" s="49" t="s">
        <v>62</v>
      </c>
      <c r="D19" s="169">
        <v>21319399</v>
      </c>
      <c r="E19" s="394">
        <v>21636668</v>
      </c>
      <c r="F19" s="366" t="s">
        <v>72</v>
      </c>
      <c r="G19" s="31"/>
      <c r="H19" s="617" t="str">
        <f>IF(AND(D$3="SI",D19&lt;0),"Il valore deve essere maggiore o uguale a zero","")</f>
        <v/>
      </c>
      <c r="I19" s="618" t="str">
        <f>IF(AND(E$3="SI",E19&lt;0),"Il valore deve essere maggiore o uguale a zero","")</f>
        <v/>
      </c>
      <c r="J19" s="31"/>
      <c r="K19" s="40">
        <f t="shared" si="0"/>
        <v>0</v>
      </c>
      <c r="L19" s="40">
        <f t="shared" si="1"/>
        <v>0</v>
      </c>
    </row>
    <row r="20" spans="1:12" s="44" customFormat="1" ht="30" customHeight="1" x14ac:dyDescent="0.25">
      <c r="A20" s="237" t="s">
        <v>73</v>
      </c>
      <c r="B20" s="109" t="s">
        <v>74</v>
      </c>
      <c r="C20" s="49" t="s">
        <v>62</v>
      </c>
      <c r="D20" s="169">
        <v>21226951.77</v>
      </c>
      <c r="E20" s="394">
        <v>20171248</v>
      </c>
      <c r="F20" s="366"/>
      <c r="G20" s="31"/>
      <c r="H20" s="617" t="str">
        <f>IF(OR(D20&lt;0,D20&gt;D19),"Il valore deve essere maggiore o uguale a zero e minore o uguale a WUtot","")</f>
        <v/>
      </c>
      <c r="I20" s="618" t="str">
        <f>IF(OR(E20&lt;0,E20&gt;E19),"Il valore deve essere maggiore o uguale a zero e minore o uguale a WUtot","")</f>
        <v/>
      </c>
      <c r="J20" s="31"/>
      <c r="K20" s="40">
        <f t="shared" si="0"/>
        <v>0</v>
      </c>
      <c r="L20" s="40">
        <f t="shared" si="1"/>
        <v>0</v>
      </c>
    </row>
    <row r="21" spans="1:12" s="44" customFormat="1" ht="30" customHeight="1" x14ac:dyDescent="0.25">
      <c r="A21" s="238" t="s">
        <v>75</v>
      </c>
      <c r="B21" s="136" t="s">
        <v>76</v>
      </c>
      <c r="C21" s="50" t="s">
        <v>68</v>
      </c>
      <c r="D21" s="239">
        <f t="shared" ref="D21:E21" si="3">IF(AND(D19&gt;0,D20&gt;=0,D20&lt;=D19),D20/D19,"")</f>
        <v>0.99566370374699587</v>
      </c>
      <c r="E21" s="398">
        <f t="shared" si="3"/>
        <v>0.93227145695446267</v>
      </c>
      <c r="F21" s="366" t="s">
        <v>69</v>
      </c>
      <c r="G21" s="31"/>
      <c r="H21" s="617" t="str">
        <f>IF(AND(D$3="SI",D21=""),"Indicatore non calcolabile","")</f>
        <v/>
      </c>
      <c r="I21" s="618" t="str">
        <f>IF(AND(E$3="SI",E21=""),"Indicatore non calcolabile","")</f>
        <v/>
      </c>
      <c r="J21" s="31"/>
      <c r="K21" s="40">
        <f t="shared" si="0"/>
        <v>0</v>
      </c>
      <c r="L21" s="40">
        <f t="shared" si="1"/>
        <v>0</v>
      </c>
    </row>
    <row r="22" spans="1:12" s="44" customFormat="1" ht="45" x14ac:dyDescent="0.25">
      <c r="A22" s="240" t="s">
        <v>77</v>
      </c>
      <c r="B22" s="137" t="s">
        <v>78</v>
      </c>
      <c r="C22" s="114" t="s">
        <v>28</v>
      </c>
      <c r="D22" s="239" t="str">
        <f>IF(AND(D3="SI",D18="",D21=""),"",IF(AND(D3="SI",D18&gt;=0.7,D21=""),"SI",IF(D3="SI",IF(OR(D18&lt;0.7,D21&lt;0.9),"NO","SI"),"")))</f>
        <v>SI</v>
      </c>
      <c r="E22" s="398" t="str">
        <f>IF(AND(E3="SI",E18="",E21=""),"",IF(AND(E3="SI",E18&gt;=0.7,E21=""),"SI",IF(E3="SI",IF(OR(E18&lt;0.7,E21&lt;0.9),"NO","SI"),"")))</f>
        <v>SI</v>
      </c>
      <c r="F22" s="348" t="s">
        <v>79</v>
      </c>
      <c r="G22" s="31"/>
      <c r="H22" s="615" t="str">
        <f>IF(AND(D$3="SI",OR(D22="NO",D22="")),"Attenzione, prerequisito mancante","")</f>
        <v/>
      </c>
      <c r="I22" s="616" t="str">
        <f>IF(AND(E$3="SI",OR(E22="NO",E22="")),"Attenzione, prerequisito mancante","")</f>
        <v/>
      </c>
      <c r="J22" s="31"/>
      <c r="K22" s="40">
        <f t="shared" si="0"/>
        <v>0</v>
      </c>
      <c r="L22" s="40">
        <f t="shared" si="1"/>
        <v>0</v>
      </c>
    </row>
    <row r="23" spans="1:12" s="44" customFormat="1" ht="45" x14ac:dyDescent="0.25">
      <c r="A23" s="240" t="s">
        <v>80</v>
      </c>
      <c r="B23" s="51" t="s">
        <v>81</v>
      </c>
      <c r="C23" s="50" t="s">
        <v>28</v>
      </c>
      <c r="D23" s="118" t="s">
        <v>82</v>
      </c>
      <c r="E23" s="399" t="s">
        <v>82</v>
      </c>
      <c r="F23" s="348" t="s">
        <v>83</v>
      </c>
      <c r="G23" s="31"/>
      <c r="H23" s="617" t="str">
        <f>IF(AND(D$3="SI",OR(D23="Non adeguato",D23="")),"Attenzione, prerequisito mancante","")</f>
        <v/>
      </c>
      <c r="I23" s="618" t="str">
        <f>IF(AND(E$3="SI",OR(E23="Non adeguato",E23="")),"Attenzione, prerequisito mancante","")</f>
        <v/>
      </c>
      <c r="J23" s="31"/>
      <c r="K23" s="40">
        <f t="shared" si="0"/>
        <v>0</v>
      </c>
      <c r="L23" s="40">
        <f t="shared" si="1"/>
        <v>0</v>
      </c>
    </row>
    <row r="24" spans="1:12" s="44" customFormat="1" ht="45" customHeight="1" thickBot="1" x14ac:dyDescent="0.3">
      <c r="A24" s="110" t="s">
        <v>84</v>
      </c>
      <c r="B24" s="111" t="s">
        <v>85</v>
      </c>
      <c r="C24" s="115" t="s">
        <v>28</v>
      </c>
      <c r="D24" s="119"/>
      <c r="E24" s="352"/>
      <c r="F24" s="349" t="s">
        <v>86</v>
      </c>
      <c r="G24" s="31"/>
      <c r="H24" s="214"/>
      <c r="I24" s="378"/>
      <c r="J24" s="31"/>
      <c r="K24" s="40">
        <f t="shared" si="0"/>
        <v>0</v>
      </c>
      <c r="L24" s="40">
        <f t="shared" si="1"/>
        <v>0</v>
      </c>
    </row>
    <row r="25" spans="1:12" ht="10.5" customHeight="1" x14ac:dyDescent="0.25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40">
        <f t="shared" si="0"/>
        <v>0</v>
      </c>
      <c r="L25" s="40">
        <f t="shared" si="1"/>
        <v>0</v>
      </c>
    </row>
    <row r="26" spans="1:12" s="44" customFormat="1" ht="18" thickBot="1" x14ac:dyDescent="0.3">
      <c r="A26" s="45" t="s">
        <v>87</v>
      </c>
      <c r="B26" s="42"/>
      <c r="C26" s="41"/>
      <c r="D26" s="41"/>
      <c r="E26" s="637"/>
      <c r="F26" s="203"/>
      <c r="G26" s="203"/>
      <c r="H26" s="203"/>
      <c r="I26" s="203"/>
      <c r="J26" s="31"/>
      <c r="K26" s="40">
        <f t="shared" si="0"/>
        <v>0</v>
      </c>
      <c r="L26" s="40">
        <f t="shared" si="1"/>
        <v>0</v>
      </c>
    </row>
    <row r="27" spans="1:12" s="58" customFormat="1" ht="45.6" customHeight="1" x14ac:dyDescent="0.25">
      <c r="A27" s="54" t="s">
        <v>88</v>
      </c>
      <c r="B27" s="55" t="s">
        <v>89</v>
      </c>
      <c r="C27" s="353" t="s">
        <v>62</v>
      </c>
      <c r="D27" s="3">
        <v>33122590</v>
      </c>
      <c r="E27" s="588">
        <v>33983976</v>
      </c>
      <c r="F27" s="347" t="s">
        <v>90</v>
      </c>
      <c r="G27" s="57"/>
      <c r="H27" s="212" t="str">
        <f>IF(D3="SI",IF(OR(D27&lt;=0,D27=""),"Il valore deve essere maggiore di zero",""),IF(D27&lt;&gt;"","Non risulta gestito il servizio di acquedotto",""))</f>
        <v/>
      </c>
      <c r="I27" s="372" t="str">
        <f>IF(E3="SI",IF(OR(E27&lt;=0,E27=""),"Il valore deve essere maggiore di zero",""),IF(E27&lt;&gt;"","Non risulta gestito il servizio di acquedotto",""))</f>
        <v/>
      </c>
      <c r="J27" s="57"/>
      <c r="K27" s="40">
        <f t="shared" si="0"/>
        <v>0</v>
      </c>
      <c r="L27" s="40">
        <f t="shared" si="1"/>
        <v>0</v>
      </c>
    </row>
    <row r="28" spans="1:12" s="58" customFormat="1" ht="43.35" customHeight="1" x14ac:dyDescent="0.25">
      <c r="A28" s="509" t="s">
        <v>91</v>
      </c>
      <c r="B28" s="147" t="s">
        <v>92</v>
      </c>
      <c r="C28" s="354" t="s">
        <v>62</v>
      </c>
      <c r="D28" s="26">
        <v>19220</v>
      </c>
      <c r="E28" s="589">
        <v>25145</v>
      </c>
      <c r="F28" s="366" t="s">
        <v>93</v>
      </c>
      <c r="G28" s="57"/>
      <c r="H28" s="668" t="str">
        <f>IF(AND(D3="SI",OR(D28&lt;0,D29&lt;0,D28+D29&lt;&gt;D27)),"Ogni di cui deve essere maggiore o uguale a zero e la somma deve essere pari a ∑WIN","")</f>
        <v/>
      </c>
      <c r="I28" s="670" t="str">
        <f>IF(AND(E3="SI",OR(E28&lt;0,E29&lt;0,E28+E29&lt;&gt;E27)),"Ogni di cui deve essere maggiore o uguale a zero e la somma deve essere pari a ∑WIN","")</f>
        <v/>
      </c>
      <c r="J28" s="57"/>
      <c r="K28" s="40">
        <f t="shared" si="0"/>
        <v>0</v>
      </c>
      <c r="L28" s="40">
        <f t="shared" si="1"/>
        <v>0</v>
      </c>
    </row>
    <row r="29" spans="1:12" s="58" customFormat="1" ht="30.75" customHeight="1" x14ac:dyDescent="0.25">
      <c r="A29" s="509" t="s">
        <v>94</v>
      </c>
      <c r="B29" s="147" t="s">
        <v>95</v>
      </c>
      <c r="C29" s="354" t="s">
        <v>62</v>
      </c>
      <c r="D29" s="26">
        <v>33103370</v>
      </c>
      <c r="E29" s="589">
        <v>33958831</v>
      </c>
      <c r="F29" s="366" t="s">
        <v>96</v>
      </c>
      <c r="G29" s="57"/>
      <c r="H29" s="669"/>
      <c r="I29" s="671"/>
      <c r="J29" s="57"/>
      <c r="K29" s="40">
        <f t="shared" si="0"/>
        <v>0</v>
      </c>
      <c r="L29" s="40">
        <f t="shared" si="1"/>
        <v>0</v>
      </c>
    </row>
    <row r="30" spans="1:12" s="58" customFormat="1" ht="63.75" x14ac:dyDescent="0.25">
      <c r="A30" s="242" t="s">
        <v>97</v>
      </c>
      <c r="B30" s="138" t="s">
        <v>98</v>
      </c>
      <c r="C30" s="354" t="s">
        <v>62</v>
      </c>
      <c r="D30" s="26">
        <v>22932691</v>
      </c>
      <c r="E30" s="589">
        <v>23119215</v>
      </c>
      <c r="F30" s="386" t="s">
        <v>99</v>
      </c>
      <c r="G30" s="57"/>
      <c r="H30" s="617" t="str">
        <f>IF(D3="SI",IF(OR(D30&lt;=0,D30&gt;=D27),"Il valore deve essere maggiore di zero e inferiore a ∑W_IN",""),IF(D30&lt;&gt;"","Non risulta gestito il servizio di acquedotto",""))</f>
        <v/>
      </c>
      <c r="I30" s="618" t="str">
        <f>IF(E3="SI",IF(OR(E30&lt;=0,E30&gt;=E27),"Il valore deve essere maggiore di zero e inferiore a ∑W_IN",""),IF(E30&lt;&gt;"","Non risulta gestito il servizio di acquedotto",""))</f>
        <v/>
      </c>
      <c r="J30" s="57"/>
      <c r="K30" s="40">
        <f t="shared" si="0"/>
        <v>0</v>
      </c>
      <c r="L30" s="40">
        <f t="shared" si="1"/>
        <v>0</v>
      </c>
    </row>
    <row r="31" spans="1:12" ht="45" customHeight="1" x14ac:dyDescent="0.25">
      <c r="A31" s="243" t="s">
        <v>100</v>
      </c>
      <c r="B31" s="139" t="s">
        <v>101</v>
      </c>
      <c r="C31" s="354" t="s">
        <v>62</v>
      </c>
      <c r="D31" s="26">
        <v>1403187</v>
      </c>
      <c r="E31" s="589">
        <v>1376003.42</v>
      </c>
      <c r="F31" s="348" t="s">
        <v>102</v>
      </c>
      <c r="H31" s="617" t="str">
        <f>IF(OR(D31&lt;0,D31&gt;D30),"Il valore deve essere maggiore o uguale a zero e inferiore o uguale a ∑W_OUT","")</f>
        <v/>
      </c>
      <c r="I31" s="618" t="str">
        <f>IF(OR(E31&lt;0,E31&gt;E30),"Il valore deve essere maggiore o uguale a zero e inferiore o uguale a ∑W_OUT","")</f>
        <v/>
      </c>
      <c r="K31" s="40">
        <f t="shared" si="0"/>
        <v>0</v>
      </c>
      <c r="L31" s="40">
        <f t="shared" si="1"/>
        <v>0</v>
      </c>
    </row>
    <row r="32" spans="1:12" ht="43.5" customHeight="1" x14ac:dyDescent="0.25">
      <c r="A32" s="231" t="s">
        <v>103</v>
      </c>
      <c r="B32" s="147" t="s">
        <v>104</v>
      </c>
      <c r="C32" s="354" t="s">
        <v>62</v>
      </c>
      <c r="D32" s="26">
        <v>0</v>
      </c>
      <c r="E32" s="589">
        <v>0</v>
      </c>
      <c r="F32" s="366" t="s">
        <v>105</v>
      </c>
      <c r="H32" s="617" t="str">
        <f>IF(OR(D32&lt;0,D32&gt;D30),"Il valore deve essere maggiore o uguale a zero e inferiore o uguale a ∑W_OUT","")</f>
        <v/>
      </c>
      <c r="I32" s="618" t="str">
        <f>IF(OR(E32&lt;0,E32&gt;E30),"Il valore deve essere maggiore o uguale a zero e inferiore o uguale a ∑W_OUT","")</f>
        <v/>
      </c>
      <c r="K32" s="40">
        <f t="shared" si="0"/>
        <v>0</v>
      </c>
      <c r="L32" s="40">
        <f t="shared" si="1"/>
        <v>0</v>
      </c>
    </row>
    <row r="33" spans="1:12" s="44" customFormat="1" ht="32.1" customHeight="1" x14ac:dyDescent="0.25">
      <c r="A33" s="231" t="s">
        <v>106</v>
      </c>
      <c r="B33" s="59" t="s">
        <v>107</v>
      </c>
      <c r="C33" s="354" t="s">
        <v>62</v>
      </c>
      <c r="D33" s="598">
        <f>IF((D27-D30)&gt;=0,D27-D30,"")</f>
        <v>10189899</v>
      </c>
      <c r="E33" s="590">
        <f>IF((E27-E30)&gt;=0,E27-E30,"")</f>
        <v>10864761</v>
      </c>
      <c r="F33" s="366"/>
      <c r="G33" s="31"/>
      <c r="H33" s="215"/>
      <c r="I33" s="429"/>
      <c r="J33" s="31"/>
      <c r="K33" s="40">
        <f t="shared" ref="K33:K62" si="4">IF(H33="",0,1)</f>
        <v>0</v>
      </c>
      <c r="L33" s="40">
        <f t="shared" ref="L33:L62" si="5">IF(I33="",0,1)</f>
        <v>0</v>
      </c>
    </row>
    <row r="34" spans="1:12" s="44" customFormat="1" ht="25.35" customHeight="1" x14ac:dyDescent="0.25">
      <c r="A34" s="237" t="s">
        <v>108</v>
      </c>
      <c r="B34" s="159" t="s">
        <v>109</v>
      </c>
      <c r="C34" s="354" t="s">
        <v>62</v>
      </c>
      <c r="D34" s="26">
        <v>0</v>
      </c>
      <c r="E34" s="589">
        <v>0</v>
      </c>
      <c r="F34" s="366"/>
      <c r="G34" s="31"/>
      <c r="H34" s="662" t="str">
        <f>IF(OR(D34&lt;0,D35&lt;0,D36&lt;0,D37&lt;0,D34+D35+D36+D37&lt;&gt;D33),"Ogni di cui deve essere maggiore o uguale a zero e la somma deve essere pari a WL_TOT","")</f>
        <v/>
      </c>
      <c r="I34" s="664" t="str">
        <f>IF(OR(E34&lt;0,E35&lt;0,E36&lt;0,E37&lt;0,E34+E35+E36+E37&lt;&gt;E33),"Ogni di cui deve essere maggiore o uguale a zero e la somma deve essere pari a WL_TOT","")</f>
        <v/>
      </c>
      <c r="J34" s="31"/>
      <c r="K34" s="40">
        <f t="shared" si="4"/>
        <v>0</v>
      </c>
      <c r="L34" s="40">
        <f t="shared" si="5"/>
        <v>0</v>
      </c>
    </row>
    <row r="35" spans="1:12" ht="25.35" customHeight="1" x14ac:dyDescent="0.25">
      <c r="A35" s="243" t="s">
        <v>110</v>
      </c>
      <c r="B35" s="159" t="s">
        <v>111</v>
      </c>
      <c r="C35" s="354" t="s">
        <v>62</v>
      </c>
      <c r="D35" s="26">
        <v>0</v>
      </c>
      <c r="E35" s="589">
        <v>0</v>
      </c>
      <c r="F35" s="348" t="s">
        <v>112</v>
      </c>
      <c r="H35" s="666"/>
      <c r="I35" s="667"/>
      <c r="K35" s="40">
        <f t="shared" si="4"/>
        <v>0</v>
      </c>
      <c r="L35" s="40">
        <f t="shared" si="5"/>
        <v>0</v>
      </c>
    </row>
    <row r="36" spans="1:12" ht="25.35" customHeight="1" x14ac:dyDescent="0.25">
      <c r="A36" s="237" t="s">
        <v>113</v>
      </c>
      <c r="B36" s="159" t="s">
        <v>114</v>
      </c>
      <c r="C36" s="354" t="s">
        <v>62</v>
      </c>
      <c r="D36" s="26">
        <v>0</v>
      </c>
      <c r="E36" s="589">
        <v>0</v>
      </c>
      <c r="F36" s="348" t="s">
        <v>115</v>
      </c>
      <c r="H36" s="666"/>
      <c r="I36" s="667"/>
      <c r="K36" s="40">
        <f t="shared" si="4"/>
        <v>0</v>
      </c>
      <c r="L36" s="40">
        <f t="shared" si="5"/>
        <v>0</v>
      </c>
    </row>
    <row r="37" spans="1:12" ht="25.35" customHeight="1" x14ac:dyDescent="0.25">
      <c r="A37" s="243" t="s">
        <v>116</v>
      </c>
      <c r="B37" s="140" t="s">
        <v>117</v>
      </c>
      <c r="C37" s="354" t="s">
        <v>62</v>
      </c>
      <c r="D37" s="26">
        <v>10189899</v>
      </c>
      <c r="E37" s="589">
        <v>10864761</v>
      </c>
      <c r="F37" s="348"/>
      <c r="H37" s="663"/>
      <c r="I37" s="665"/>
      <c r="K37" s="40">
        <f t="shared" si="4"/>
        <v>0</v>
      </c>
      <c r="L37" s="40">
        <f t="shared" si="5"/>
        <v>0</v>
      </c>
    </row>
    <row r="38" spans="1:12" ht="32.1" customHeight="1" x14ac:dyDescent="0.25">
      <c r="A38" s="243" t="s">
        <v>118</v>
      </c>
      <c r="B38" s="141" t="s">
        <v>119</v>
      </c>
      <c r="C38" s="354" t="s">
        <v>62</v>
      </c>
      <c r="D38" s="26">
        <v>31719403</v>
      </c>
      <c r="E38" s="589">
        <v>32607972</v>
      </c>
      <c r="F38" s="348" t="s">
        <v>120</v>
      </c>
      <c r="H38" s="617" t="str">
        <f>IF(D7="X",IF(OR(D38&lt;=0,D38&gt;D27),"Il valore deve essere maggiore di zero e minore o uguale a ∑W_IN",""),IF(D38&lt;&gt;"","Non risulta gestita la distribuzione",""))</f>
        <v/>
      </c>
      <c r="I38" s="618" t="str">
        <f>IF(E7="X",IF(OR(E38&lt;=0,E38&gt;E27),"Il valore deve essere maggiore di zero e minore o uguale a ∑W_IN",""),IF(E38&lt;&gt;"","Non risulta gestita la distribuzione",""))</f>
        <v/>
      </c>
      <c r="K38" s="40">
        <f t="shared" si="4"/>
        <v>0</v>
      </c>
      <c r="L38" s="40">
        <f t="shared" si="5"/>
        <v>0</v>
      </c>
    </row>
    <row r="39" spans="1:12" ht="30" customHeight="1" x14ac:dyDescent="0.25">
      <c r="A39" s="243" t="s">
        <v>121</v>
      </c>
      <c r="B39" s="147" t="s">
        <v>122</v>
      </c>
      <c r="C39" s="354" t="s">
        <v>62</v>
      </c>
      <c r="D39" s="26">
        <v>21319399</v>
      </c>
      <c r="E39" s="589">
        <v>21399957</v>
      </c>
      <c r="F39" s="348" t="s">
        <v>123</v>
      </c>
      <c r="H39" s="617" t="str">
        <f>IF(D7="X",IF(OR(D39&lt;=0,D39&gt;=D38),"Il valore deve essere maggiore di zero e minore di WD5",""),IF(D39&lt;&gt;"","Non risulta gestita la distribuzione",""))</f>
        <v/>
      </c>
      <c r="I39" s="618" t="str">
        <f>IF(E7="X",IF(OR(E39&lt;=0,E39&gt;=E38),"Il valore deve essere maggiore di zero e minore di WD5",""),IF(E39&lt;&gt;"","Non risulta gestita la distribuzione",""))</f>
        <v/>
      </c>
      <c r="K39" s="40">
        <f t="shared" si="4"/>
        <v>0</v>
      </c>
      <c r="L39" s="40">
        <f t="shared" si="5"/>
        <v>0</v>
      </c>
    </row>
    <row r="40" spans="1:12" s="44" customFormat="1" ht="30" customHeight="1" x14ac:dyDescent="0.25">
      <c r="A40" s="243" t="s">
        <v>124</v>
      </c>
      <c r="B40" s="147" t="s">
        <v>125</v>
      </c>
      <c r="C40" s="354" t="s">
        <v>62</v>
      </c>
      <c r="D40" s="26">
        <f>D38-D39</f>
        <v>10400004</v>
      </c>
      <c r="E40" s="589">
        <f>E38-E39</f>
        <v>11208015</v>
      </c>
      <c r="F40" s="348" t="s">
        <v>126</v>
      </c>
      <c r="G40" s="31"/>
      <c r="H40" s="622"/>
      <c r="I40" s="618" t="str">
        <f>IF(E40&lt;E37,"Il valore deve essere maggiore o uguale a WLD","")</f>
        <v/>
      </c>
      <c r="J40" s="31"/>
      <c r="K40" s="40">
        <f t="shared" si="4"/>
        <v>0</v>
      </c>
      <c r="L40" s="40">
        <f t="shared" si="5"/>
        <v>0</v>
      </c>
    </row>
    <row r="41" spans="1:12" ht="32.1" customHeight="1" x14ac:dyDescent="0.25">
      <c r="A41" s="243" t="s">
        <v>127</v>
      </c>
      <c r="B41" s="138" t="s">
        <v>128</v>
      </c>
      <c r="C41" s="354" t="s">
        <v>129</v>
      </c>
      <c r="D41" s="26">
        <v>4528.9953513691535</v>
      </c>
      <c r="E41" s="589">
        <v>4545.07</v>
      </c>
      <c r="F41" s="348"/>
      <c r="H41" s="617" t="str">
        <f>IF(D3="SI",IF(OR(D41&lt;=0,D41=""),"Il valore deve essere maggiore di zero",""),IF(D41&lt;&gt;"","Non risulta gestito il servizio di acquedotto",""))</f>
        <v/>
      </c>
      <c r="I41" s="618" t="str">
        <f>IF(E3="SI",IF(OR(E41&lt;=0,E41=""),"Il valore deve essere maggiore di zero",""),IF(E41&lt;&gt;"","Non risulta gestito il servizio di acquedotto",""))</f>
        <v/>
      </c>
      <c r="K41" s="40">
        <f t="shared" si="4"/>
        <v>0</v>
      </c>
      <c r="L41" s="40">
        <f t="shared" si="5"/>
        <v>0</v>
      </c>
    </row>
    <row r="42" spans="1:12" ht="21.95" customHeight="1" x14ac:dyDescent="0.25">
      <c r="A42" s="243" t="s">
        <v>130</v>
      </c>
      <c r="B42" s="140" t="s">
        <v>131</v>
      </c>
      <c r="C42" s="354" t="s">
        <v>129</v>
      </c>
      <c r="D42" s="26">
        <v>1165.092320240944</v>
      </c>
      <c r="E42" s="589">
        <v>1169.3399999999999</v>
      </c>
      <c r="F42" s="348"/>
      <c r="H42" s="658" t="str">
        <f>IF(AND(D3="SI",OR(D42&lt;0,D43&lt;0,D43+D42&lt;&gt;D41)),"Ogni di cui deve essere maggiore o uguale a zero e la somma deve essere pari a Lp","")</f>
        <v/>
      </c>
      <c r="I42" s="659" t="str">
        <f>IF(AND(E3="SI",OR(E42&lt;0,E43&lt;0,E43+E42&lt;&gt;E41)),"Ogni di cui deve essere maggiore o uguale a zero e la somma deve essere pari a Lp","")</f>
        <v/>
      </c>
      <c r="K42" s="40">
        <f t="shared" si="4"/>
        <v>0</v>
      </c>
      <c r="L42" s="40">
        <f t="shared" si="5"/>
        <v>0</v>
      </c>
    </row>
    <row r="43" spans="1:12" ht="26.25" customHeight="1" x14ac:dyDescent="0.25">
      <c r="A43" s="243" t="s">
        <v>132</v>
      </c>
      <c r="B43" s="140" t="s">
        <v>133</v>
      </c>
      <c r="C43" s="354" t="s">
        <v>129</v>
      </c>
      <c r="D43" s="26">
        <v>3363.9030311282095</v>
      </c>
      <c r="E43" s="589">
        <v>3375.73</v>
      </c>
      <c r="F43" s="348"/>
      <c r="H43" s="658"/>
      <c r="I43" s="659"/>
      <c r="K43" s="40">
        <f t="shared" si="4"/>
        <v>0</v>
      </c>
      <c r="L43" s="40">
        <f t="shared" si="5"/>
        <v>0</v>
      </c>
    </row>
    <row r="44" spans="1:12" s="44" customFormat="1" ht="30" customHeight="1" x14ac:dyDescent="0.25">
      <c r="A44" s="537" t="s">
        <v>134</v>
      </c>
      <c r="B44" s="538" t="s">
        <v>135</v>
      </c>
      <c r="C44" s="554" t="s">
        <v>136</v>
      </c>
      <c r="D44" s="247">
        <f>IF(AND(D41&gt;0,D33&gt;0),D33/(365*(D41+0.22*D43)),"")</f>
        <v>5.2983953875451917</v>
      </c>
      <c r="E44" s="316">
        <f>IF(AND(E41&gt;0,E33&gt;0),E33/(365*(E41+0.22*E43)),"")</f>
        <v>5.6293466412889277</v>
      </c>
      <c r="F44" s="348" t="s">
        <v>137</v>
      </c>
      <c r="G44" s="31"/>
      <c r="H44" s="617" t="str">
        <f>IF(AND(D$3="SI",D44=""),"Indicatore non calcolabile","")</f>
        <v/>
      </c>
      <c r="I44" s="618" t="str">
        <f>IF(AND(E$3="SI",E44=""),"Indicatore non calcolabile","")</f>
        <v/>
      </c>
      <c r="J44" s="31"/>
      <c r="K44" s="40">
        <f t="shared" si="4"/>
        <v>0</v>
      </c>
      <c r="L44" s="40">
        <f t="shared" si="5"/>
        <v>0</v>
      </c>
    </row>
    <row r="45" spans="1:12" s="44" customFormat="1" ht="30" customHeight="1" x14ac:dyDescent="0.25">
      <c r="A45" s="246" t="s">
        <v>138</v>
      </c>
      <c r="B45" s="142" t="s">
        <v>139</v>
      </c>
      <c r="C45" s="546" t="s">
        <v>68</v>
      </c>
      <c r="D45" s="248">
        <f>IF(AND(D27&gt;0,D33&gt;0,D33&lt;=D27),D33/D27,"")</f>
        <v>0.3076419748576425</v>
      </c>
      <c r="E45" s="317">
        <f>IF(AND(E27&gt;0,E33&gt;0,E33&lt;=E27),E33/E27,"")</f>
        <v>0.31970246801021751</v>
      </c>
      <c r="F45" s="348" t="s">
        <v>140</v>
      </c>
      <c r="G45" s="31"/>
      <c r="H45" s="617" t="str">
        <f>IF(AND(D$3="SI",D45=""),"Indicatore non calcolabile","")</f>
        <v/>
      </c>
      <c r="I45" s="618" t="str">
        <f>IF(AND(E$3="SI",E45=""),"Indicatore non calcolabile","")</f>
        <v/>
      </c>
      <c r="J45" s="31"/>
      <c r="K45" s="40">
        <f t="shared" si="4"/>
        <v>0</v>
      </c>
      <c r="L45" s="40">
        <f t="shared" si="5"/>
        <v>0</v>
      </c>
    </row>
    <row r="46" spans="1:12" s="44" customFormat="1" ht="30" customHeight="1" x14ac:dyDescent="0.25">
      <c r="A46" s="537" t="s">
        <v>141</v>
      </c>
      <c r="B46" s="538" t="s">
        <v>142</v>
      </c>
      <c r="C46" s="554" t="s">
        <v>28</v>
      </c>
      <c r="D46" s="184" t="str">
        <f>IF(OR(D44="",D45=""),"",IF(AND(D44&lt;12,D45&lt;0.25),"A",IF(AND(D44&lt;20,D45&lt;0.35),"B",IF(AND(D44&lt;35,D45&lt;0.45),"C",IF(AND(D44&lt;55,D45&lt;0.55),"D","E")))))</f>
        <v>B</v>
      </c>
      <c r="E46" s="27" t="str">
        <f>IF(OR(E44="",E45=""),"",IF(AND(E44&lt;12,E45&lt;0.25),"A",IF(AND(E44&lt;20,E45&lt;0.35),"B",IF(AND(E44&lt;35,E45&lt;0.45),"C",IF(AND(E44&lt;55,E45&lt;0.55),"D","E")))))</f>
        <v>B</v>
      </c>
      <c r="F46" s="348" t="s">
        <v>143</v>
      </c>
      <c r="G46" s="31"/>
      <c r="H46" s="213"/>
      <c r="I46" s="382"/>
      <c r="J46" s="31"/>
      <c r="K46" s="40">
        <f t="shared" si="4"/>
        <v>0</v>
      </c>
      <c r="L46" s="40">
        <f t="shared" si="5"/>
        <v>0</v>
      </c>
    </row>
    <row r="47" spans="1:12" s="44" customFormat="1" ht="30" customHeight="1" x14ac:dyDescent="0.25">
      <c r="A47" s="246" t="s">
        <v>144</v>
      </c>
      <c r="B47" s="142" t="s">
        <v>145</v>
      </c>
      <c r="C47" s="546" t="s">
        <v>28</v>
      </c>
      <c r="D47" s="184" t="str">
        <f>IF(D46="A","Mantenimento",IF(D46="B","-2% di M1a",IF(D46="C","-4% di M1a",IF(D46="D","-5% di M1a",IF(D46="E","-6% di M1a","")))))</f>
        <v>-2% di M1a</v>
      </c>
      <c r="E47" s="27" t="str">
        <f>IF(E46="A","Mantenimento",IF(E46="B","-2% di M1a",IF(E46="C","-4% di M1a",IF(E46="D","-5% di M1a",IF(E46="E","-6% di M1a","")))))</f>
        <v>-2% di M1a</v>
      </c>
      <c r="F47" s="386"/>
      <c r="G47" s="31"/>
      <c r="H47" s="213"/>
      <c r="I47" s="382"/>
      <c r="J47" s="31"/>
      <c r="K47" s="40">
        <f t="shared" si="4"/>
        <v>0</v>
      </c>
      <c r="L47" s="40">
        <f t="shared" si="5"/>
        <v>0</v>
      </c>
    </row>
    <row r="48" spans="1:12" ht="82.9" customHeight="1" x14ac:dyDescent="0.25">
      <c r="A48" s="237" t="s">
        <v>146</v>
      </c>
      <c r="B48" s="508" t="s">
        <v>147</v>
      </c>
      <c r="C48" s="354" t="s">
        <v>62</v>
      </c>
      <c r="D48" s="26"/>
      <c r="E48" s="589"/>
      <c r="F48" s="348" t="s">
        <v>148</v>
      </c>
      <c r="H48" s="617" t="str">
        <f>IF(D3="SI",IF(OR(D48&lt;0,D48&gt;D16),"Il valore deve essere maggiore o uguale a zero e minore o uguale a WPtot",""),IF(D48&lt;&gt;"","Non risulta gestito il servizio di acquedotto",""))</f>
        <v/>
      </c>
      <c r="I48" s="618" t="str">
        <f>IF(E3="SI",IF(OR(E48&lt;0,E48&gt;E16),"Il valore deve essere maggiore o uguale a zero e minore o uguale a WPtot",""),IF(E48&lt;&gt;"","Non risulta gestito il servizio di acquedotto",""))</f>
        <v/>
      </c>
      <c r="K48" s="40">
        <f t="shared" si="4"/>
        <v>0</v>
      </c>
      <c r="L48" s="40">
        <f t="shared" si="5"/>
        <v>0</v>
      </c>
    </row>
    <row r="49" spans="1:12" ht="25.35" customHeight="1" x14ac:dyDescent="0.25">
      <c r="A49" s="237" t="s">
        <v>149</v>
      </c>
      <c r="B49" s="159" t="s">
        <v>150</v>
      </c>
      <c r="C49" s="354" t="s">
        <v>62</v>
      </c>
      <c r="D49" s="26">
        <v>0</v>
      </c>
      <c r="E49" s="589"/>
      <c r="F49" s="348" t="s">
        <v>151</v>
      </c>
      <c r="H49" s="617" t="str">
        <f>IF(OR(D49&lt;0,D49&gt;D48),"Il valore deve essere maggiore o uguale a zero e inferiore o uguale a WPem","")</f>
        <v/>
      </c>
      <c r="I49" s="618" t="str">
        <f>IF(OR(E49&lt;0,E49&gt;E48),"Il valore deve essere maggiore o uguale a zero e inferiore o uguale a WPem","")</f>
        <v/>
      </c>
      <c r="K49" s="40">
        <f t="shared" si="4"/>
        <v>0</v>
      </c>
      <c r="L49" s="40">
        <f t="shared" si="5"/>
        <v>0</v>
      </c>
    </row>
    <row r="50" spans="1:12" ht="82.9" customHeight="1" x14ac:dyDescent="0.25">
      <c r="A50" s="237" t="s">
        <v>152</v>
      </c>
      <c r="B50" s="508" t="s">
        <v>153</v>
      </c>
      <c r="C50" s="354" t="s">
        <v>62</v>
      </c>
      <c r="D50" s="26"/>
      <c r="E50" s="589"/>
      <c r="F50" s="348" t="s">
        <v>154</v>
      </c>
      <c r="H50" s="617" t="str">
        <f>IF(D3="SI",IF(OR(D50&lt;0,D50&gt;D19),"Il valore deve essere maggiore o uguale a zero e minore o uguale a WUtot",""),IF(D50&lt;&gt;"","Non risulta gestito il servizio di acquedotto",""))</f>
        <v/>
      </c>
      <c r="I50" s="618" t="str">
        <f>IF(E3="SI",IF(OR(E50&lt;0,E50&gt;E19),"Il valore deve essere maggiore o uguale a zero e minore o uguale a WUtot",""),IF(E50&lt;&gt;"","Non risulta gestito il servizio di acquedotto",""))</f>
        <v/>
      </c>
      <c r="K50" s="40">
        <f t="shared" si="4"/>
        <v>0</v>
      </c>
      <c r="L50" s="40">
        <f t="shared" si="5"/>
        <v>0</v>
      </c>
    </row>
    <row r="51" spans="1:12" ht="25.35" customHeight="1" x14ac:dyDescent="0.25">
      <c r="A51" s="237" t="s">
        <v>155</v>
      </c>
      <c r="B51" s="159" t="s">
        <v>150</v>
      </c>
      <c r="C51" s="354" t="s">
        <v>62</v>
      </c>
      <c r="D51" s="26">
        <v>0</v>
      </c>
      <c r="E51" s="351"/>
      <c r="F51" s="348" t="s">
        <v>151</v>
      </c>
      <c r="H51" s="617" t="str">
        <f>IF(OR(D51&lt;0,D51&gt;D50),"Il valore deve essere maggiore o uguale a zero e inferiore o uguale a WUem","")</f>
        <v/>
      </c>
      <c r="I51" s="618" t="str">
        <f>IF(OR(E51&lt;0,E51&gt;E50),"Il valore deve essere maggiore o uguale a zero e inferiore o uguale a WUem","")</f>
        <v/>
      </c>
      <c r="K51" s="40">
        <f t="shared" si="4"/>
        <v>0</v>
      </c>
      <c r="L51" s="40">
        <f t="shared" si="5"/>
        <v>0</v>
      </c>
    </row>
    <row r="52" spans="1:12" ht="25.35" customHeight="1" thickBot="1" x14ac:dyDescent="0.3">
      <c r="A52" s="591" t="s">
        <v>156</v>
      </c>
      <c r="B52" s="592" t="s">
        <v>157</v>
      </c>
      <c r="C52" s="597" t="s">
        <v>68</v>
      </c>
      <c r="D52" s="599"/>
      <c r="E52" s="600"/>
      <c r="F52" s="349" t="s">
        <v>158</v>
      </c>
      <c r="H52" s="532"/>
      <c r="I52" s="533"/>
      <c r="K52" s="40">
        <f t="shared" si="4"/>
        <v>0</v>
      </c>
      <c r="L52" s="40">
        <f t="shared" si="5"/>
        <v>0</v>
      </c>
    </row>
    <row r="53" spans="1:12" s="44" customFormat="1" ht="10.35" customHeight="1" x14ac:dyDescent="0.25">
      <c r="A53" s="41"/>
      <c r="B53" s="42"/>
      <c r="C53" s="41"/>
      <c r="D53" s="41"/>
      <c r="E53" s="41"/>
      <c r="F53" s="203"/>
      <c r="G53" s="203"/>
      <c r="H53" s="203"/>
      <c r="I53" s="203"/>
      <c r="J53" s="31"/>
      <c r="K53" s="40">
        <f t="shared" si="4"/>
        <v>0</v>
      </c>
      <c r="L53" s="40">
        <f t="shared" si="5"/>
        <v>0</v>
      </c>
    </row>
    <row r="54" spans="1:12" s="44" customFormat="1" ht="18" thickBot="1" x14ac:dyDescent="0.3">
      <c r="A54" s="45" t="s">
        <v>159</v>
      </c>
      <c r="B54" s="42"/>
      <c r="C54" s="41"/>
      <c r="D54" s="41"/>
      <c r="E54" s="41"/>
      <c r="F54" s="203"/>
      <c r="G54" s="203"/>
      <c r="H54" s="203"/>
      <c r="I54" s="203"/>
      <c r="J54" s="31"/>
      <c r="K54" s="40">
        <f t="shared" si="4"/>
        <v>0</v>
      </c>
      <c r="L54" s="40">
        <f t="shared" si="5"/>
        <v>0</v>
      </c>
    </row>
    <row r="55" spans="1:12" s="44" customFormat="1" ht="45" customHeight="1" x14ac:dyDescent="0.25">
      <c r="A55" s="61" t="s">
        <v>160</v>
      </c>
      <c r="B55" s="62" t="s">
        <v>161</v>
      </c>
      <c r="C55" s="63" t="s">
        <v>28</v>
      </c>
      <c r="D55" s="534" t="s">
        <v>82</v>
      </c>
      <c r="E55" s="535" t="s">
        <v>82</v>
      </c>
      <c r="F55" s="5" t="s">
        <v>83</v>
      </c>
      <c r="G55" s="31"/>
      <c r="H55" s="212" t="str">
        <f>IF(AND(D$3="SI",OR(D55="Non adeguato",D55="")),"Attenzione, prerequisito mancante","")</f>
        <v/>
      </c>
      <c r="I55" s="372" t="str">
        <f>IF(AND(E$3="SI",OR(E55="Non adeguato",E55="")),"Attenzione, prerequisito mancante","")</f>
        <v/>
      </c>
      <c r="J55" s="31"/>
      <c r="K55" s="40">
        <f t="shared" si="4"/>
        <v>0</v>
      </c>
      <c r="L55" s="40">
        <f t="shared" si="5"/>
        <v>0</v>
      </c>
    </row>
    <row r="56" spans="1:12" s="44" customFormat="1" ht="45" customHeight="1" thickBot="1" x14ac:dyDescent="0.3">
      <c r="A56" s="110" t="s">
        <v>162</v>
      </c>
      <c r="B56" s="111" t="s">
        <v>163</v>
      </c>
      <c r="C56" s="115" t="s">
        <v>28</v>
      </c>
      <c r="D56" s="119"/>
      <c r="E56" s="352"/>
      <c r="F56" s="10" t="s">
        <v>86</v>
      </c>
      <c r="G56" s="31"/>
      <c r="H56" s="532"/>
      <c r="I56" s="533"/>
      <c r="J56" s="31"/>
      <c r="K56" s="40">
        <f t="shared" si="4"/>
        <v>0</v>
      </c>
      <c r="L56" s="40">
        <f t="shared" si="5"/>
        <v>0</v>
      </c>
    </row>
    <row r="57" spans="1:12" s="44" customFormat="1" ht="10.35" customHeight="1" x14ac:dyDescent="0.25">
      <c r="A57" s="41"/>
      <c r="B57" s="42"/>
      <c r="C57" s="41"/>
      <c r="D57" s="41"/>
      <c r="E57" s="41"/>
      <c r="F57" s="203"/>
      <c r="G57" s="31"/>
      <c r="H57" s="60"/>
      <c r="I57" s="60"/>
      <c r="J57" s="31"/>
      <c r="K57" s="40">
        <f t="shared" si="4"/>
        <v>0</v>
      </c>
      <c r="L57" s="40">
        <f t="shared" si="5"/>
        <v>0</v>
      </c>
    </row>
    <row r="58" spans="1:12" s="44" customFormat="1" ht="18" thickBot="1" x14ac:dyDescent="0.3">
      <c r="A58" s="45" t="s">
        <v>164</v>
      </c>
      <c r="B58" s="42"/>
      <c r="C58" s="41"/>
      <c r="D58" s="41"/>
      <c r="E58" s="41"/>
      <c r="F58" s="203"/>
      <c r="G58" s="31"/>
      <c r="H58" s="60"/>
      <c r="I58" s="60"/>
      <c r="J58" s="31"/>
      <c r="K58" s="40">
        <f t="shared" si="4"/>
        <v>0</v>
      </c>
      <c r="L58" s="40">
        <f t="shared" si="5"/>
        <v>0</v>
      </c>
    </row>
    <row r="59" spans="1:12" s="44" customFormat="1" ht="39.75" customHeight="1" x14ac:dyDescent="0.25">
      <c r="A59" s="64" t="s">
        <v>165</v>
      </c>
      <c r="B59" s="55" t="s">
        <v>166</v>
      </c>
      <c r="C59" s="65" t="s">
        <v>167</v>
      </c>
      <c r="D59" s="3">
        <v>105209</v>
      </c>
      <c r="E59" s="350">
        <v>105749</v>
      </c>
      <c r="F59" s="347" t="s">
        <v>168</v>
      </c>
      <c r="G59" s="31"/>
      <c r="H59" s="212" t="str">
        <f>IF(D59&lt;0,"Il valore deve essere maggiore o uguale a zero","")</f>
        <v/>
      </c>
      <c r="I59" s="372" t="str">
        <f>IF(E59&lt;0,"Il valore deve essere maggiore o uguale a zero","")</f>
        <v/>
      </c>
      <c r="J59" s="31"/>
      <c r="K59" s="40">
        <f t="shared" si="4"/>
        <v>0</v>
      </c>
      <c r="L59" s="40">
        <f t="shared" si="5"/>
        <v>0</v>
      </c>
    </row>
    <row r="60" spans="1:12" s="44" customFormat="1" ht="21.95" customHeight="1" x14ac:dyDescent="0.25">
      <c r="A60" s="243" t="s">
        <v>169</v>
      </c>
      <c r="B60" s="140" t="s">
        <v>170</v>
      </c>
      <c r="C60" s="251" t="s">
        <v>167</v>
      </c>
      <c r="D60" s="26">
        <v>90267</v>
      </c>
      <c r="E60" s="351">
        <v>90692</v>
      </c>
      <c r="F60" s="366" t="s">
        <v>171</v>
      </c>
      <c r="G60" s="31"/>
      <c r="H60" s="662" t="str">
        <f>IF(OR(D60&lt;&gt;"",D61&lt;&gt;""),IF(OR(D60&lt;0,D61&lt;0,D61+D60&lt;&gt;D59),"Ogni di cui deve essere maggiore o uguale a zero e la somma deve essere pari a UtT",""),"")</f>
        <v/>
      </c>
      <c r="I60" s="664" t="str">
        <f>IF(OR(E60&lt;&gt;"",E61&lt;&gt;""),IF(OR(E60&lt;0,E61&lt;0,E61+E60&lt;&gt;E59),"Ogni di cui deve essere maggiore o uguale a zero e la somma deve essere pari a UtT",""),"")</f>
        <v/>
      </c>
      <c r="J60" s="31"/>
      <c r="K60" s="40">
        <f t="shared" si="4"/>
        <v>0</v>
      </c>
      <c r="L60" s="40">
        <f t="shared" si="5"/>
        <v>0</v>
      </c>
    </row>
    <row r="61" spans="1:12" s="44" customFormat="1" ht="21.95" customHeight="1" x14ac:dyDescent="0.25">
      <c r="A61" s="243" t="s">
        <v>172</v>
      </c>
      <c r="B61" s="140" t="s">
        <v>173</v>
      </c>
      <c r="C61" s="251" t="s">
        <v>167</v>
      </c>
      <c r="D61" s="26">
        <v>14942</v>
      </c>
      <c r="E61" s="351">
        <v>15057</v>
      </c>
      <c r="F61" s="366" t="s">
        <v>171</v>
      </c>
      <c r="G61" s="31"/>
      <c r="H61" s="663"/>
      <c r="I61" s="665"/>
      <c r="J61" s="31"/>
      <c r="K61" s="40">
        <f t="shared" si="4"/>
        <v>0</v>
      </c>
      <c r="L61" s="40">
        <f t="shared" si="5"/>
        <v>0</v>
      </c>
    </row>
    <row r="62" spans="1:12" s="44" customFormat="1" ht="30" x14ac:dyDescent="0.25">
      <c r="A62" s="243" t="s">
        <v>174</v>
      </c>
      <c r="B62" s="38" t="s">
        <v>175</v>
      </c>
      <c r="C62" s="251" t="s">
        <v>167</v>
      </c>
      <c r="D62" s="26">
        <v>11723</v>
      </c>
      <c r="E62" s="351">
        <v>11727</v>
      </c>
      <c r="F62" s="365" t="s">
        <v>176</v>
      </c>
      <c r="G62" s="31"/>
      <c r="H62" s="617" t="str">
        <f>IF(AND(D3="SI",OR(D62&lt;0,D62&gt;D59)),"Il valore deve essere maggiore o uguale a zero e minore o uguale a UtT","")</f>
        <v/>
      </c>
      <c r="I62" s="618" t="str">
        <f>IF(AND(E3="SI",OR(E62&lt;0,E62&gt;E59)),"Il valore deve essere maggiore o uguale a zero e minore o uguale a UtT","")</f>
        <v/>
      </c>
      <c r="J62" s="31"/>
      <c r="K62" s="40">
        <f t="shared" si="4"/>
        <v>0</v>
      </c>
      <c r="L62" s="40">
        <f t="shared" si="5"/>
        <v>0</v>
      </c>
    </row>
    <row r="63" spans="1:12" s="44" customFormat="1" ht="45" x14ac:dyDescent="0.25">
      <c r="A63" s="243" t="s">
        <v>177</v>
      </c>
      <c r="B63" s="138" t="s">
        <v>178</v>
      </c>
      <c r="C63" s="251" t="s">
        <v>167</v>
      </c>
      <c r="D63" s="26">
        <v>75244</v>
      </c>
      <c r="E63" s="351">
        <v>75319</v>
      </c>
      <c r="F63" s="365" t="s">
        <v>176</v>
      </c>
      <c r="G63" s="31"/>
      <c r="H63" s="617" t="str">
        <f>IF(AND(D3="SI",OR(D63&lt;D62,D63&lt;0)),"Il valore deve essere maggiore o uguale di UtT_cond","")</f>
        <v/>
      </c>
      <c r="I63" s="618" t="str">
        <f>IF(AND(E3="SI",OR(E63&lt;E62,E63&lt;0)),"Il valore deve essere maggiore o uguale di UtT_cond","")</f>
        <v/>
      </c>
      <c r="J63" s="31"/>
      <c r="K63" s="40">
        <f t="shared" ref="K63:K93" si="6">IF(H63="",0,1)</f>
        <v>0</v>
      </c>
      <c r="L63" s="40">
        <f t="shared" ref="L63:L93" si="7">IF(I63="",0,1)</f>
        <v>0</v>
      </c>
    </row>
    <row r="64" spans="1:12" s="44" customFormat="1" ht="21.95" customHeight="1" x14ac:dyDescent="0.25">
      <c r="A64" s="243" t="s">
        <v>179</v>
      </c>
      <c r="B64" s="140" t="s">
        <v>180</v>
      </c>
      <c r="C64" s="251" t="s">
        <v>167</v>
      </c>
      <c r="D64" s="26">
        <v>69118</v>
      </c>
      <c r="E64" s="351">
        <v>69131</v>
      </c>
      <c r="F64" s="366"/>
      <c r="G64" s="31"/>
      <c r="H64" s="662" t="str">
        <f>IF(OR(D64&lt;&gt;"",D65&lt;&gt;""),IF(OR(D64&lt;0,D65&lt;0,D65+D64&lt;&gt;D63),"Ogni di cui deve essere maggiore o uguale a zero e la somma deve essere pari a UtT_indr",""),"")</f>
        <v/>
      </c>
      <c r="I64" s="664" t="str">
        <f>IF(OR(E64&lt;&gt;"",E65&lt;&gt;""),IF(OR(E64&lt;0,E65&lt;0,E65+E64&lt;&gt;E63),"Ogni di cui deve essere maggiore o uguale a zero e la somma deve essere pari a UtT_indr",""),"")</f>
        <v/>
      </c>
      <c r="J64" s="31"/>
      <c r="K64" s="40">
        <f t="shared" si="6"/>
        <v>0</v>
      </c>
      <c r="L64" s="40">
        <f t="shared" si="7"/>
        <v>0</v>
      </c>
    </row>
    <row r="65" spans="1:12" s="44" customFormat="1" ht="21.95" customHeight="1" x14ac:dyDescent="0.25">
      <c r="A65" s="243" t="s">
        <v>181</v>
      </c>
      <c r="B65" s="140" t="s">
        <v>182</v>
      </c>
      <c r="C65" s="251" t="s">
        <v>167</v>
      </c>
      <c r="D65" s="26">
        <v>6126</v>
      </c>
      <c r="E65" s="351">
        <v>6188</v>
      </c>
      <c r="F65" s="366"/>
      <c r="G65" s="52"/>
      <c r="H65" s="663"/>
      <c r="I65" s="665"/>
      <c r="J65" s="52"/>
      <c r="K65" s="40">
        <f t="shared" si="6"/>
        <v>0</v>
      </c>
      <c r="L65" s="40">
        <f t="shared" si="7"/>
        <v>0</v>
      </c>
    </row>
    <row r="66" spans="1:12" s="44" customFormat="1" ht="46.35" customHeight="1" x14ac:dyDescent="0.25">
      <c r="A66" s="243" t="s">
        <v>183</v>
      </c>
      <c r="B66" s="143" t="s">
        <v>184</v>
      </c>
      <c r="C66" s="251" t="s">
        <v>167</v>
      </c>
      <c r="D66" s="175">
        <f t="shared" ref="D66:E66" si="8">IF((D59-D62+D63)&gt;=0,D59-D62+D63,"")</f>
        <v>168730</v>
      </c>
      <c r="E66" s="401">
        <f t="shared" si="8"/>
        <v>169341</v>
      </c>
      <c r="F66" s="366" t="s">
        <v>185</v>
      </c>
      <c r="G66" s="31"/>
      <c r="H66" s="217"/>
      <c r="I66" s="431"/>
      <c r="J66" s="31"/>
      <c r="K66" s="40">
        <f t="shared" si="6"/>
        <v>0</v>
      </c>
      <c r="L66" s="40">
        <f t="shared" si="7"/>
        <v>0</v>
      </c>
    </row>
    <row r="67" spans="1:12" s="44" customFormat="1" ht="45" customHeight="1" x14ac:dyDescent="0.25">
      <c r="A67" s="231" t="s">
        <v>186</v>
      </c>
      <c r="B67" s="143" t="s">
        <v>187</v>
      </c>
      <c r="C67" s="251" t="s">
        <v>167</v>
      </c>
      <c r="D67" s="26">
        <v>18297</v>
      </c>
      <c r="E67" s="635">
        <v>18285</v>
      </c>
      <c r="F67" s="366" t="s">
        <v>188</v>
      </c>
      <c r="G67" s="31"/>
      <c r="H67" s="617" t="str">
        <f t="shared" ref="H67:I69" si="9">IF(D67&lt;0,"Il valore deve essere maggiore o uguale a zero","")</f>
        <v/>
      </c>
      <c r="I67" s="618" t="str">
        <f t="shared" si="9"/>
        <v/>
      </c>
      <c r="J67" s="31"/>
      <c r="K67" s="40">
        <f t="shared" si="6"/>
        <v>0</v>
      </c>
      <c r="L67" s="40">
        <f t="shared" si="7"/>
        <v>0</v>
      </c>
    </row>
    <row r="68" spans="1:12" s="44" customFormat="1" ht="32.1" customHeight="1" x14ac:dyDescent="0.25">
      <c r="A68" s="231" t="s">
        <v>189</v>
      </c>
      <c r="B68" s="143" t="s">
        <v>190</v>
      </c>
      <c r="C68" s="39" t="s">
        <v>191</v>
      </c>
      <c r="D68" s="26">
        <v>1818</v>
      </c>
      <c r="E68" s="635">
        <v>1659</v>
      </c>
      <c r="F68" s="366"/>
      <c r="G68" s="31"/>
      <c r="H68" s="617" t="str">
        <f t="shared" si="9"/>
        <v/>
      </c>
      <c r="I68" s="618" t="str">
        <f t="shared" si="9"/>
        <v/>
      </c>
      <c r="J68" s="31"/>
      <c r="K68" s="40">
        <f t="shared" si="6"/>
        <v>0</v>
      </c>
      <c r="L68" s="40">
        <f t="shared" si="7"/>
        <v>0</v>
      </c>
    </row>
    <row r="69" spans="1:12" s="44" customFormat="1" ht="45" customHeight="1" x14ac:dyDescent="0.25">
      <c r="A69" s="231" t="s">
        <v>192</v>
      </c>
      <c r="B69" s="144" t="s">
        <v>193</v>
      </c>
      <c r="C69" s="39" t="s">
        <v>191</v>
      </c>
      <c r="D69" s="26">
        <v>33241</v>
      </c>
      <c r="E69" s="680">
        <v>30273</v>
      </c>
      <c r="F69" s="366" t="s">
        <v>194</v>
      </c>
      <c r="G69" s="31"/>
      <c r="H69" s="617" t="str">
        <f t="shared" si="9"/>
        <v/>
      </c>
      <c r="I69" s="618" t="str">
        <f t="shared" si="9"/>
        <v/>
      </c>
      <c r="J69" s="31"/>
      <c r="K69" s="40">
        <f t="shared" si="6"/>
        <v>0</v>
      </c>
      <c r="L69" s="40">
        <f t="shared" si="7"/>
        <v>0</v>
      </c>
    </row>
    <row r="70" spans="1:12" s="44" customFormat="1" ht="30" customHeight="1" x14ac:dyDescent="0.25">
      <c r="A70" s="246" t="s">
        <v>195</v>
      </c>
      <c r="B70" s="142" t="s">
        <v>196</v>
      </c>
      <c r="C70" s="66" t="s">
        <v>191</v>
      </c>
      <c r="D70" s="247">
        <f t="shared" ref="D70:E70" si="10">IF(AND(D66&gt;0,D69&lt;&gt;"",D69&gt;=0),D69/D66,"")</f>
        <v>0.19700705268772595</v>
      </c>
      <c r="E70" s="316">
        <f t="shared" si="10"/>
        <v>0.17876946516201039</v>
      </c>
      <c r="F70" s="348" t="s">
        <v>197</v>
      </c>
      <c r="G70" s="31"/>
      <c r="H70" s="617" t="str">
        <f>IF(AND(D7="X",D70=""),"Indicatore non calcolabile","")</f>
        <v/>
      </c>
      <c r="I70" s="618" t="str">
        <f>IF(AND(E7="X",E70=""),"Indicatore non calcolabile","")</f>
        <v/>
      </c>
      <c r="J70" s="31"/>
      <c r="K70" s="40">
        <f t="shared" si="6"/>
        <v>0</v>
      </c>
      <c r="L70" s="40">
        <f t="shared" si="7"/>
        <v>0</v>
      </c>
    </row>
    <row r="71" spans="1:12" s="44" customFormat="1" ht="30" customHeight="1" x14ac:dyDescent="0.25">
      <c r="A71" s="67" t="s">
        <v>198</v>
      </c>
      <c r="B71" s="142" t="s">
        <v>199</v>
      </c>
      <c r="C71" s="232" t="s">
        <v>28</v>
      </c>
      <c r="D71" s="173" t="str">
        <f t="shared" ref="D71:E71" si="11">IF(D70="","",IF(D70&lt;6,"A",IF(D70&lt;12,"B","C")))</f>
        <v>A</v>
      </c>
      <c r="E71" s="174" t="str">
        <f t="shared" si="11"/>
        <v>A</v>
      </c>
      <c r="F71" s="386"/>
      <c r="G71" s="31"/>
      <c r="H71" s="215"/>
      <c r="I71" s="429"/>
      <c r="J71" s="31"/>
      <c r="K71" s="40">
        <f t="shared" si="6"/>
        <v>0</v>
      </c>
      <c r="L71" s="40">
        <f t="shared" si="7"/>
        <v>0</v>
      </c>
    </row>
    <row r="72" spans="1:12" s="44" customFormat="1" ht="30" customHeight="1" x14ac:dyDescent="0.25">
      <c r="A72" s="67" t="s">
        <v>200</v>
      </c>
      <c r="B72" s="142" t="s">
        <v>201</v>
      </c>
      <c r="C72" s="232" t="s">
        <v>28</v>
      </c>
      <c r="D72" s="173" t="str">
        <f t="shared" ref="D72:E72" si="12">IF(D71="A","Mantenimento",IF(D71="B","-2% di M2",IF(D71="C","-5% di M2","")))</f>
        <v>Mantenimento</v>
      </c>
      <c r="E72" s="174" t="str">
        <f t="shared" si="12"/>
        <v>Mantenimento</v>
      </c>
      <c r="F72" s="386"/>
      <c r="G72" s="31"/>
      <c r="H72" s="215"/>
      <c r="I72" s="429"/>
      <c r="J72" s="31"/>
      <c r="K72" s="40">
        <f t="shared" si="6"/>
        <v>0</v>
      </c>
      <c r="L72" s="40">
        <f t="shared" si="7"/>
        <v>0</v>
      </c>
    </row>
    <row r="73" spans="1:12" s="44" customFormat="1" ht="42" customHeight="1" x14ac:dyDescent="0.25">
      <c r="A73" s="243" t="s">
        <v>202</v>
      </c>
      <c r="B73" s="144" t="s">
        <v>203</v>
      </c>
      <c r="C73" s="39" t="s">
        <v>204</v>
      </c>
      <c r="D73" s="26">
        <v>130500</v>
      </c>
      <c r="E73" s="351">
        <v>130500</v>
      </c>
      <c r="F73" s="366"/>
      <c r="G73" s="31"/>
      <c r="H73" s="617" t="str">
        <f>IF(D73&lt;0,"Il valore deve essere maggiore o uguale a zero","")</f>
        <v/>
      </c>
      <c r="I73" s="618" t="str">
        <f>IF(E73&lt;0,"Il valore deve essere maggiore o uguale a zero","")</f>
        <v/>
      </c>
      <c r="J73" s="31"/>
      <c r="K73" s="40">
        <f t="shared" si="6"/>
        <v>0</v>
      </c>
      <c r="L73" s="40">
        <f t="shared" si="7"/>
        <v>0</v>
      </c>
    </row>
    <row r="74" spans="1:12" s="44" customFormat="1" ht="32.1" customHeight="1" x14ac:dyDescent="0.25">
      <c r="A74" s="252" t="s">
        <v>205</v>
      </c>
      <c r="B74" s="144" t="s">
        <v>206</v>
      </c>
      <c r="C74" s="39" t="s">
        <v>204</v>
      </c>
      <c r="D74" s="26">
        <v>108171</v>
      </c>
      <c r="E74" s="351">
        <v>117581</v>
      </c>
      <c r="F74" s="366"/>
      <c r="G74" s="31"/>
      <c r="H74" s="617" t="str">
        <f>IF(D74&lt;0,"Il valore deve essere maggiore o uguale a zero","")</f>
        <v/>
      </c>
      <c r="I74" s="618" t="str">
        <f>IF(E74&lt;0,"Il valore deve essere maggiore o uguale a zero","")</f>
        <v/>
      </c>
      <c r="J74" s="31"/>
      <c r="K74" s="40">
        <f t="shared" si="6"/>
        <v>0</v>
      </c>
      <c r="L74" s="40">
        <f t="shared" si="7"/>
        <v>0</v>
      </c>
    </row>
    <row r="75" spans="1:12" s="44" customFormat="1" ht="30" customHeight="1" thickBot="1" x14ac:dyDescent="0.3">
      <c r="A75" s="253" t="s">
        <v>207</v>
      </c>
      <c r="B75" s="254" t="s">
        <v>208</v>
      </c>
      <c r="C75" s="255" t="s">
        <v>68</v>
      </c>
      <c r="D75" s="256">
        <f t="shared" ref="D75:E75" si="13">IF(AND(D74&gt;0,D73&gt;0),D73/D74,"")</f>
        <v>1.2064231633247358</v>
      </c>
      <c r="E75" s="402">
        <f t="shared" si="13"/>
        <v>1.1098731937983177</v>
      </c>
      <c r="F75" s="349" t="s">
        <v>209</v>
      </c>
      <c r="G75" s="31"/>
      <c r="H75" s="216"/>
      <c r="I75" s="430"/>
      <c r="J75" s="31"/>
      <c r="K75" s="40">
        <f t="shared" si="6"/>
        <v>0</v>
      </c>
      <c r="L75" s="40">
        <f t="shared" si="7"/>
        <v>0</v>
      </c>
    </row>
    <row r="76" spans="1:12" s="44" customFormat="1" ht="10.35" customHeight="1" x14ac:dyDescent="0.25">
      <c r="A76" s="41"/>
      <c r="B76" s="42"/>
      <c r="C76" s="41"/>
      <c r="D76" s="41"/>
      <c r="E76" s="41"/>
      <c r="F76" s="203"/>
      <c r="G76" s="203"/>
      <c r="H76" s="203"/>
      <c r="I76" s="203"/>
      <c r="J76" s="31"/>
      <c r="K76" s="40">
        <f t="shared" si="6"/>
        <v>0</v>
      </c>
      <c r="L76" s="40">
        <f t="shared" si="7"/>
        <v>0</v>
      </c>
    </row>
    <row r="77" spans="1:12" s="44" customFormat="1" ht="18" thickBot="1" x14ac:dyDescent="0.3">
      <c r="A77" s="45" t="s">
        <v>210</v>
      </c>
      <c r="B77" s="42"/>
      <c r="C77" s="41"/>
      <c r="D77" s="41"/>
      <c r="E77" s="41"/>
      <c r="F77" s="203"/>
      <c r="G77" s="203"/>
      <c r="H77" s="203"/>
      <c r="I77" s="203"/>
      <c r="J77" s="31"/>
      <c r="K77" s="40">
        <f t="shared" si="6"/>
        <v>0</v>
      </c>
      <c r="L77" s="40">
        <f t="shared" si="7"/>
        <v>0</v>
      </c>
    </row>
    <row r="78" spans="1:12" s="44" customFormat="1" ht="45" customHeight="1" x14ac:dyDescent="0.25">
      <c r="A78" s="68" t="s">
        <v>211</v>
      </c>
      <c r="B78" s="484" t="s">
        <v>212</v>
      </c>
      <c r="C78" s="541" t="s">
        <v>28</v>
      </c>
      <c r="D78" s="4"/>
      <c r="E78" s="406"/>
      <c r="F78" s="347" t="s">
        <v>213</v>
      </c>
      <c r="G78" s="31"/>
      <c r="H78" s="218"/>
      <c r="I78" s="432"/>
      <c r="J78" s="31"/>
      <c r="K78" s="40">
        <f t="shared" si="6"/>
        <v>0</v>
      </c>
      <c r="L78" s="40">
        <f t="shared" si="7"/>
        <v>0</v>
      </c>
    </row>
    <row r="79" spans="1:12" s="44" customFormat="1" ht="45" customHeight="1" thickBot="1" x14ac:dyDescent="0.3">
      <c r="A79" s="110" t="s">
        <v>214</v>
      </c>
      <c r="B79" s="111" t="s">
        <v>215</v>
      </c>
      <c r="C79" s="625" t="s">
        <v>28</v>
      </c>
      <c r="D79" s="119"/>
      <c r="E79" s="352"/>
      <c r="F79" s="483" t="s">
        <v>216</v>
      </c>
      <c r="G79" s="31"/>
      <c r="H79" s="214"/>
      <c r="I79" s="378"/>
      <c r="J79" s="31"/>
      <c r="K79" s="40">
        <f t="shared" si="6"/>
        <v>0</v>
      </c>
      <c r="L79" s="40">
        <f t="shared" si="7"/>
        <v>0</v>
      </c>
    </row>
    <row r="80" spans="1:12" s="44" customFormat="1" ht="10.35" customHeight="1" x14ac:dyDescent="0.25">
      <c r="A80" s="41"/>
      <c r="B80" s="42"/>
      <c r="C80" s="41"/>
      <c r="D80" s="41"/>
      <c r="E80" s="41"/>
      <c r="F80" s="203"/>
      <c r="G80" s="203"/>
      <c r="H80" s="203"/>
      <c r="I80" s="203"/>
      <c r="J80" s="31"/>
      <c r="K80" s="40">
        <f t="shared" si="6"/>
        <v>0</v>
      </c>
      <c r="L80" s="40">
        <f t="shared" si="7"/>
        <v>0</v>
      </c>
    </row>
    <row r="81" spans="1:12" s="44" customFormat="1" ht="17.25" x14ac:dyDescent="0.25">
      <c r="A81" s="45" t="s">
        <v>217</v>
      </c>
      <c r="B81" s="42"/>
      <c r="C81" s="41"/>
      <c r="D81" s="41"/>
      <c r="E81" s="41"/>
      <c r="F81" s="203"/>
      <c r="G81" s="203"/>
      <c r="H81" s="203"/>
      <c r="I81" s="203"/>
      <c r="J81" s="31"/>
      <c r="K81" s="40">
        <f t="shared" si="6"/>
        <v>0</v>
      </c>
      <c r="L81" s="40">
        <f t="shared" si="7"/>
        <v>0</v>
      </c>
    </row>
    <row r="82" spans="1:12" s="44" customFormat="1" ht="32.1" customHeight="1" x14ac:dyDescent="0.25">
      <c r="A82" s="64" t="s">
        <v>218</v>
      </c>
      <c r="B82" s="69" t="s">
        <v>219</v>
      </c>
      <c r="C82" s="65" t="s">
        <v>167</v>
      </c>
      <c r="D82" s="3">
        <v>1138</v>
      </c>
      <c r="E82" s="634">
        <v>1019</v>
      </c>
      <c r="F82" s="347"/>
      <c r="G82" s="31"/>
      <c r="H82" s="212" t="str">
        <f>IF(D82&lt;0,"Il valore deve essere maggiore o uguale a zero","")</f>
        <v/>
      </c>
      <c r="I82" s="372" t="str">
        <f>IF(E82&lt;0,"Il valore deve essere maggiore o uguale a zero","")</f>
        <v/>
      </c>
      <c r="J82" s="31"/>
      <c r="K82" s="40">
        <f t="shared" si="6"/>
        <v>0</v>
      </c>
      <c r="L82" s="40">
        <f t="shared" si="7"/>
        <v>0</v>
      </c>
    </row>
    <row r="83" spans="1:12" s="44" customFormat="1" ht="21.95" customHeight="1" x14ac:dyDescent="0.25">
      <c r="A83" s="243" t="s">
        <v>220</v>
      </c>
      <c r="B83" s="145" t="s">
        <v>221</v>
      </c>
      <c r="C83" s="251" t="s">
        <v>167</v>
      </c>
      <c r="D83" s="26">
        <v>1005</v>
      </c>
      <c r="E83" s="635">
        <v>843</v>
      </c>
      <c r="F83" s="386"/>
      <c r="G83" s="31"/>
      <c r="H83" s="658" t="str">
        <f>IF(OR(D83&lt;&gt;"",D84&lt;&gt;""),IF(OR(D83&lt;0,D84&lt;0,D84+D83&lt;&gt;D82),"Ogni di cui deve essere maggiore o uguale a zero e la somma deve essere pari a Int_tot,1h",""),"")</f>
        <v/>
      </c>
      <c r="I83" s="659" t="str">
        <f>IF(OR(E83&lt;&gt;"",E84&lt;&gt;""),IF(OR(E83&lt;0,E84&lt;0,E84+E83&lt;&gt;E82),"Ogni di cui deve essere maggiore o uguale a zero e la somma deve essere pari a Int_tot,1h",""),"")</f>
        <v/>
      </c>
      <c r="J83" s="31"/>
      <c r="K83" s="40">
        <f t="shared" si="6"/>
        <v>0</v>
      </c>
      <c r="L83" s="40">
        <f t="shared" si="7"/>
        <v>0</v>
      </c>
    </row>
    <row r="84" spans="1:12" s="44" customFormat="1" ht="21.95" customHeight="1" x14ac:dyDescent="0.25">
      <c r="A84" s="243" t="s">
        <v>222</v>
      </c>
      <c r="B84" s="145" t="s">
        <v>223</v>
      </c>
      <c r="C84" s="251" t="s">
        <v>167</v>
      </c>
      <c r="D84" s="26">
        <v>133</v>
      </c>
      <c r="E84" s="635">
        <v>176</v>
      </c>
      <c r="F84" s="386"/>
      <c r="G84" s="31"/>
      <c r="H84" s="658"/>
      <c r="I84" s="659"/>
      <c r="J84" s="31"/>
      <c r="K84" s="40">
        <f t="shared" si="6"/>
        <v>0</v>
      </c>
      <c r="L84" s="40">
        <f t="shared" si="7"/>
        <v>0</v>
      </c>
    </row>
    <row r="85" spans="1:12" s="44" customFormat="1" ht="32.1" customHeight="1" x14ac:dyDescent="0.25">
      <c r="A85" s="243" t="s">
        <v>224</v>
      </c>
      <c r="B85" s="146" t="s">
        <v>225</v>
      </c>
      <c r="C85" s="251" t="s">
        <v>167</v>
      </c>
      <c r="D85" s="26">
        <v>0</v>
      </c>
      <c r="E85" s="635">
        <v>0</v>
      </c>
      <c r="F85" s="348" t="s">
        <v>226</v>
      </c>
      <c r="G85" s="31"/>
      <c r="H85" s="617" t="str">
        <f>IF(OR(D85&lt;0,D85&gt;D84),"Il valore deve essere maggiore o uguale a zero e minore o uguale a Int_p","")</f>
        <v/>
      </c>
      <c r="I85" s="618" t="str">
        <f>IF(OR(E85&lt;0,E85&gt;E84),"Il valore deve essere maggiore o uguale a zero e minore o uguale a Int_p","")</f>
        <v/>
      </c>
      <c r="J85" s="31"/>
      <c r="K85" s="40">
        <f t="shared" si="6"/>
        <v>0</v>
      </c>
      <c r="L85" s="40">
        <f t="shared" si="7"/>
        <v>0</v>
      </c>
    </row>
    <row r="86" spans="1:12" s="44" customFormat="1" ht="32.1" customHeight="1" x14ac:dyDescent="0.25">
      <c r="A86" s="243" t="s">
        <v>227</v>
      </c>
      <c r="B86" s="257" t="s">
        <v>228</v>
      </c>
      <c r="C86" s="251" t="s">
        <v>167</v>
      </c>
      <c r="D86" s="26">
        <v>0</v>
      </c>
      <c r="E86" s="635">
        <v>0</v>
      </c>
      <c r="F86" s="348" t="s">
        <v>229</v>
      </c>
      <c r="G86" s="31"/>
      <c r="H86" s="617" t="str">
        <f t="shared" ref="H86:I88" si="14">IF(D86&lt;0,"Il valore deve essere maggiore o uguale a zero","")</f>
        <v/>
      </c>
      <c r="I86" s="618" t="str">
        <f t="shared" si="14"/>
        <v/>
      </c>
      <c r="J86" s="31"/>
      <c r="K86" s="40">
        <f t="shared" si="6"/>
        <v>0</v>
      </c>
      <c r="L86" s="40">
        <f t="shared" si="7"/>
        <v>0</v>
      </c>
    </row>
    <row r="87" spans="1:12" s="44" customFormat="1" ht="32.1" customHeight="1" x14ac:dyDescent="0.25">
      <c r="A87" s="243" t="s">
        <v>230</v>
      </c>
      <c r="B87" s="144" t="s">
        <v>231</v>
      </c>
      <c r="C87" s="251" t="s">
        <v>167</v>
      </c>
      <c r="D87" s="26">
        <v>0</v>
      </c>
      <c r="E87" s="635">
        <v>0</v>
      </c>
      <c r="F87" s="348"/>
      <c r="G87" s="31"/>
      <c r="H87" s="617" t="str">
        <f t="shared" si="14"/>
        <v/>
      </c>
      <c r="I87" s="618" t="str">
        <f t="shared" si="14"/>
        <v/>
      </c>
      <c r="J87" s="31"/>
      <c r="K87" s="40">
        <f t="shared" si="6"/>
        <v>0</v>
      </c>
      <c r="L87" s="40">
        <f t="shared" si="7"/>
        <v>0</v>
      </c>
    </row>
    <row r="88" spans="1:12" s="44" customFormat="1" ht="60" customHeight="1" x14ac:dyDescent="0.25">
      <c r="A88" s="243" t="s">
        <v>232</v>
      </c>
      <c r="B88" s="258" t="s">
        <v>233</v>
      </c>
      <c r="C88" s="251" t="s">
        <v>167</v>
      </c>
      <c r="D88" s="26">
        <v>0</v>
      </c>
      <c r="E88" s="635">
        <v>0</v>
      </c>
      <c r="F88" s="348" t="s">
        <v>234</v>
      </c>
      <c r="G88" s="31"/>
      <c r="H88" s="617" t="str">
        <f t="shared" si="14"/>
        <v/>
      </c>
      <c r="I88" s="618" t="str">
        <f t="shared" si="14"/>
        <v/>
      </c>
      <c r="J88" s="31"/>
      <c r="K88" s="40">
        <f t="shared" si="6"/>
        <v>0</v>
      </c>
      <c r="L88" s="40">
        <f t="shared" si="7"/>
        <v>0</v>
      </c>
    </row>
    <row r="89" spans="1:12" s="44" customFormat="1" ht="45" customHeight="1" x14ac:dyDescent="0.25">
      <c r="A89" s="231" t="s">
        <v>235</v>
      </c>
      <c r="B89" s="144" t="s">
        <v>236</v>
      </c>
      <c r="C89" s="251" t="s">
        <v>167</v>
      </c>
      <c r="D89" s="26">
        <v>0</v>
      </c>
      <c r="E89" s="635">
        <v>0</v>
      </c>
      <c r="F89" s="348" t="s">
        <v>237</v>
      </c>
      <c r="G89" s="31"/>
      <c r="H89" s="219" t="str">
        <f>IF(OR(D89&lt;0,D89&lt;D85),"Il valore deve essere maggiore o uguale a Int_p,S1","")</f>
        <v/>
      </c>
      <c r="I89" s="433" t="str">
        <f>IF(OR(E89&lt;0,E89&lt;E85),"Il valore deve essere maggiore o uguale a Int_p,S1","")</f>
        <v/>
      </c>
      <c r="J89" s="31"/>
      <c r="K89" s="40">
        <f t="shared" si="6"/>
        <v>0</v>
      </c>
      <c r="L89" s="40">
        <f t="shared" si="7"/>
        <v>0</v>
      </c>
    </row>
    <row r="90" spans="1:12" s="44" customFormat="1" ht="45" customHeight="1" x14ac:dyDescent="0.25">
      <c r="A90" s="231" t="s">
        <v>238</v>
      </c>
      <c r="B90" s="144" t="s">
        <v>239</v>
      </c>
      <c r="C90" s="251" t="s">
        <v>167</v>
      </c>
      <c r="D90" s="26">
        <v>0</v>
      </c>
      <c r="E90" s="635">
        <v>0</v>
      </c>
      <c r="F90" s="348" t="s">
        <v>237</v>
      </c>
      <c r="G90" s="31"/>
      <c r="H90" s="219" t="str">
        <f>IF(OR(D90&lt;0,D90&lt;D88),"Il valore deve essere maggiore o uguale a Int_em,S2","")</f>
        <v/>
      </c>
      <c r="I90" s="433" t="str">
        <f>IF(OR(E90&lt;0,E90&lt;E88),"Il valore deve essere maggiore o uguale a Int_em,S2","")</f>
        <v/>
      </c>
      <c r="J90" s="31"/>
      <c r="K90" s="40">
        <f t="shared" si="6"/>
        <v>0</v>
      </c>
      <c r="L90" s="40">
        <f t="shared" si="7"/>
        <v>0</v>
      </c>
    </row>
    <row r="91" spans="1:12" s="44" customFormat="1" ht="45" customHeight="1" x14ac:dyDescent="0.25">
      <c r="A91" s="281" t="s">
        <v>240</v>
      </c>
      <c r="B91" s="282" t="s">
        <v>241</v>
      </c>
      <c r="C91" s="283" t="s">
        <v>167</v>
      </c>
      <c r="D91" s="274">
        <v>0</v>
      </c>
      <c r="E91" s="636">
        <v>0</v>
      </c>
      <c r="F91" s="349" t="s">
        <v>237</v>
      </c>
      <c r="G91" s="31"/>
      <c r="H91" s="284" t="str">
        <f>IF(OR(D91&lt;0,D91&lt;D86),"Il valore deve essere maggiore o uguale a Int_p,S3","")</f>
        <v/>
      </c>
      <c r="I91" s="434" t="str">
        <f>IF(OR(E91&lt;0,E91&lt;E86),"Il valore deve essere maggiore o uguale a Int_p,S3","")</f>
        <v/>
      </c>
      <c r="J91" s="31"/>
      <c r="K91" s="40">
        <f t="shared" si="6"/>
        <v>0</v>
      </c>
      <c r="L91" s="40">
        <f t="shared" si="7"/>
        <v>0</v>
      </c>
    </row>
    <row r="92" spans="1:12" s="44" customFormat="1" ht="10.35" customHeight="1" x14ac:dyDescent="0.25">
      <c r="A92" s="41"/>
      <c r="B92" s="42"/>
      <c r="C92" s="41"/>
      <c r="D92" s="41"/>
      <c r="E92" s="41"/>
      <c r="F92" s="203"/>
      <c r="G92" s="31"/>
      <c r="H92" s="43"/>
      <c r="I92" s="43"/>
      <c r="J92" s="31"/>
      <c r="K92" s="40">
        <f t="shared" si="6"/>
        <v>0</v>
      </c>
      <c r="L92" s="40">
        <f t="shared" si="7"/>
        <v>0</v>
      </c>
    </row>
    <row r="93" spans="1:12" s="44" customFormat="1" ht="17.25" x14ac:dyDescent="0.25">
      <c r="A93" s="45" t="s">
        <v>242</v>
      </c>
      <c r="B93" s="42"/>
      <c r="C93" s="41"/>
      <c r="D93" s="41"/>
      <c r="E93" s="41"/>
      <c r="F93" s="203"/>
      <c r="G93" s="31"/>
      <c r="H93" s="43"/>
      <c r="I93" s="43"/>
      <c r="J93" s="31"/>
      <c r="K93" s="40">
        <f t="shared" si="6"/>
        <v>0</v>
      </c>
      <c r="L93" s="40">
        <f t="shared" si="7"/>
        <v>0</v>
      </c>
    </row>
    <row r="94" spans="1:12" s="44" customFormat="1" ht="62.1" customHeight="1" x14ac:dyDescent="0.25">
      <c r="A94" s="68" t="s">
        <v>243</v>
      </c>
      <c r="B94" s="102" t="s">
        <v>244</v>
      </c>
      <c r="C94" s="542" t="s">
        <v>28</v>
      </c>
      <c r="D94" s="4" t="s">
        <v>33</v>
      </c>
      <c r="E94" s="406" t="s">
        <v>33</v>
      </c>
      <c r="F94" s="485" t="s">
        <v>245</v>
      </c>
      <c r="G94" s="31"/>
      <c r="H94" s="220"/>
      <c r="I94" s="376"/>
      <c r="J94" s="31"/>
      <c r="K94" s="40">
        <f t="shared" ref="K94:K127" si="15">IF(H94="",0,1)</f>
        <v>0</v>
      </c>
      <c r="L94" s="40">
        <f t="shared" ref="L94:L127" si="16">IF(I94="",0,1)</f>
        <v>0</v>
      </c>
    </row>
    <row r="95" spans="1:12" s="44" customFormat="1" ht="32.1" customHeight="1" x14ac:dyDescent="0.25">
      <c r="A95" s="103" t="s">
        <v>246</v>
      </c>
      <c r="B95" s="104" t="s">
        <v>247</v>
      </c>
      <c r="C95" s="536" t="s">
        <v>28</v>
      </c>
      <c r="D95" s="116" t="s">
        <v>33</v>
      </c>
      <c r="E95" s="400" t="s">
        <v>33</v>
      </c>
      <c r="F95" s="486" t="s">
        <v>245</v>
      </c>
      <c r="G95" s="31"/>
      <c r="H95" s="210"/>
      <c r="I95" s="374"/>
      <c r="J95" s="31"/>
      <c r="K95" s="40">
        <f t="shared" si="15"/>
        <v>0</v>
      </c>
      <c r="L95" s="40">
        <f t="shared" si="16"/>
        <v>0</v>
      </c>
    </row>
    <row r="96" spans="1:12" s="44" customFormat="1" ht="32.1" customHeight="1" x14ac:dyDescent="0.25">
      <c r="A96" s="105" t="s">
        <v>248</v>
      </c>
      <c r="B96" s="104" t="s">
        <v>249</v>
      </c>
      <c r="C96" s="536" t="s">
        <v>28</v>
      </c>
      <c r="D96" s="116" t="s">
        <v>33</v>
      </c>
      <c r="E96" s="400" t="s">
        <v>33</v>
      </c>
      <c r="F96" s="486" t="s">
        <v>245</v>
      </c>
      <c r="G96" s="31"/>
      <c r="H96" s="210"/>
      <c r="I96" s="374"/>
      <c r="J96" s="31"/>
      <c r="K96" s="40">
        <f t="shared" si="15"/>
        <v>0</v>
      </c>
      <c r="L96" s="40">
        <f t="shared" si="16"/>
        <v>0</v>
      </c>
    </row>
    <row r="97" spans="1:12" s="44" customFormat="1" ht="32.1" customHeight="1" x14ac:dyDescent="0.25">
      <c r="A97" s="105" t="s">
        <v>250</v>
      </c>
      <c r="B97" s="106" t="s">
        <v>251</v>
      </c>
      <c r="C97" s="536" t="s">
        <v>167</v>
      </c>
      <c r="D97" s="117">
        <v>492</v>
      </c>
      <c r="E97" s="410">
        <v>498</v>
      </c>
      <c r="F97" s="486" t="s">
        <v>252</v>
      </c>
      <c r="G97" s="31"/>
      <c r="H97" s="617" t="str">
        <f>IF(AND(D3&lt;&gt;"SI",D97&lt;&gt;""),"Non risulta gestito il servizio di acquedotto",IF(D97&lt;0,"Il valore deve essere maggiore o uguale a zero",""))</f>
        <v/>
      </c>
      <c r="I97" s="618" t="str">
        <f>IF(AND(E3&lt;&gt;"SI",E97&lt;&gt;""),"Non risulta gestito il servizio di acquedotto",IF(E97&lt;0,"Il valore deve essere maggiore o uguale a zero",""))</f>
        <v/>
      </c>
      <c r="J97" s="31"/>
      <c r="K97" s="40">
        <f t="shared" si="15"/>
        <v>0</v>
      </c>
      <c r="L97" s="40">
        <f t="shared" si="16"/>
        <v>0</v>
      </c>
    </row>
    <row r="98" spans="1:12" s="44" customFormat="1" ht="32.1" customHeight="1" x14ac:dyDescent="0.25">
      <c r="A98" s="412" t="s">
        <v>253</v>
      </c>
      <c r="B98" s="106" t="s">
        <v>254</v>
      </c>
      <c r="C98" s="543" t="s">
        <v>204</v>
      </c>
      <c r="D98" s="117">
        <v>51752</v>
      </c>
      <c r="E98" s="410">
        <v>51905</v>
      </c>
      <c r="F98" s="486" t="s">
        <v>255</v>
      </c>
      <c r="G98" s="31"/>
      <c r="H98" s="617" t="str">
        <f>IF(AND(D3&lt;&gt;"SI",D98&lt;&gt;""),"Non risulta gestito il servizio di acquedotto", IF(D98&lt;0,"Il valore deve essere maggiore o uguale a zero",""))</f>
        <v/>
      </c>
      <c r="I98" s="618" t="str">
        <f>IF(AND(E3&lt;&gt;"SI",E98&lt;&gt;""),"Non risulta gestito il servizio di acquedotto", IF(E98&lt;0,"Il valore deve essere maggiore o uguale a zero",""))</f>
        <v/>
      </c>
      <c r="J98" s="31"/>
      <c r="K98" s="40">
        <f t="shared" si="15"/>
        <v>0</v>
      </c>
      <c r="L98" s="40">
        <f t="shared" si="16"/>
        <v>0</v>
      </c>
    </row>
    <row r="99" spans="1:12" s="44" customFormat="1" ht="32.1" customHeight="1" x14ac:dyDescent="0.25">
      <c r="A99" s="105" t="s">
        <v>256</v>
      </c>
      <c r="B99" s="106" t="s">
        <v>257</v>
      </c>
      <c r="C99" s="536" t="s">
        <v>167</v>
      </c>
      <c r="D99" s="117">
        <v>3289</v>
      </c>
      <c r="E99" s="410">
        <v>2948</v>
      </c>
      <c r="F99" s="486" t="s">
        <v>258</v>
      </c>
      <c r="G99" s="31"/>
      <c r="H99" s="617" t="str">
        <f>IF(AND(D3&lt;&gt;"SI",D99&lt;&gt;""),"Non risulta gestito il servizio di acquedotto", IF(D99&lt;0,"Il valore deve essere maggiore o uguale a zero",""))</f>
        <v/>
      </c>
      <c r="I99" s="618" t="str">
        <f>IF(AND(E3&lt;&gt;"SI",E99&lt;&gt;""),"Non risulta gestito il servizio di acquedotto", IF(E99&lt;0,"Il valore deve essere maggiore o uguale a zero",""))</f>
        <v/>
      </c>
      <c r="J99" s="31"/>
      <c r="K99" s="40">
        <f t="shared" si="15"/>
        <v>0</v>
      </c>
      <c r="L99" s="40">
        <f t="shared" si="16"/>
        <v>0</v>
      </c>
    </row>
    <row r="100" spans="1:12" s="44" customFormat="1" ht="32.1" customHeight="1" x14ac:dyDescent="0.25">
      <c r="A100" s="105" t="s">
        <v>259</v>
      </c>
      <c r="B100" s="104" t="s">
        <v>260</v>
      </c>
      <c r="C100" s="536" t="s">
        <v>28</v>
      </c>
      <c r="D100" s="201" t="str">
        <f t="shared" ref="D100:E100" si="17">IF(AND(D97="",D99=""),"",IF(AND(D99&gt;=D97,D97&gt;=0,D99&gt;=0,D97&lt;&gt;"",D99&lt;&gt;""),"SI","NO"))</f>
        <v>SI</v>
      </c>
      <c r="E100" s="487" t="str">
        <f t="shared" si="17"/>
        <v>SI</v>
      </c>
      <c r="F100" s="409"/>
      <c r="G100" s="31"/>
      <c r="H100" s="210"/>
      <c r="I100" s="374"/>
      <c r="J100" s="31"/>
      <c r="K100" s="40">
        <f t="shared" si="15"/>
        <v>0</v>
      </c>
      <c r="L100" s="40">
        <f t="shared" si="16"/>
        <v>0</v>
      </c>
    </row>
    <row r="101" spans="1:12" s="44" customFormat="1" ht="45" x14ac:dyDescent="0.25">
      <c r="A101" s="107" t="s">
        <v>261</v>
      </c>
      <c r="B101" s="108" t="s">
        <v>262</v>
      </c>
      <c r="C101" s="544" t="s">
        <v>28</v>
      </c>
      <c r="D101" s="202" t="str">
        <f>IF(D3&lt;&gt;"SI","",IF(AND(D94="",D95="",D96="",D100=""),"",IF(AND(D94="X",D95="X",D96="X",D100="SI"),"SI","NO")))</f>
        <v>SI</v>
      </c>
      <c r="E101" s="488" t="str">
        <f>IF(E3&lt;&gt;"SI","",IF(AND(E94="",E95="",E96="",E100=""),"",IF(AND(E94="X",E95="X",E96="X",E100="SI"),"SI","NO")))</f>
        <v>SI</v>
      </c>
      <c r="F101" s="348" t="s">
        <v>263</v>
      </c>
      <c r="G101" s="31"/>
      <c r="H101" s="615" t="str">
        <f>IF(AND(D$3="SI",OR(D101="NO",D101="")),"Attenzione, prerequisito mancante","")</f>
        <v/>
      </c>
      <c r="I101" s="616" t="str">
        <f>IF(AND(E$3="SI",OR(E101="NO",E101="")),"Attenzione, prerequisito mancante","")</f>
        <v/>
      </c>
      <c r="J101" s="31"/>
      <c r="K101" s="40">
        <f t="shared" si="15"/>
        <v>0</v>
      </c>
      <c r="L101" s="40">
        <f t="shared" si="16"/>
        <v>0</v>
      </c>
    </row>
    <row r="102" spans="1:12" s="44" customFormat="1" ht="42" customHeight="1" x14ac:dyDescent="0.25">
      <c r="A102" s="107" t="s">
        <v>264</v>
      </c>
      <c r="B102" s="71" t="s">
        <v>265</v>
      </c>
      <c r="C102" s="545" t="s">
        <v>28</v>
      </c>
      <c r="D102" s="118" t="s">
        <v>82</v>
      </c>
      <c r="E102" s="399" t="s">
        <v>82</v>
      </c>
      <c r="F102" s="348" t="s">
        <v>83</v>
      </c>
      <c r="G102" s="31"/>
      <c r="H102" s="617" t="str">
        <f>IF(AND(D$3="SI",OR(D102="Non adeguato",D102="")),"Attenzione, prerequisito mancante","")</f>
        <v/>
      </c>
      <c r="I102" s="618" t="str">
        <f>IF(AND(E$3="SI",OR(E102="Non adeguato",E102="")),"Attenzione, prerequisito mancante","")</f>
        <v/>
      </c>
      <c r="J102" s="31"/>
      <c r="K102" s="40">
        <f t="shared" si="15"/>
        <v>0</v>
      </c>
      <c r="L102" s="40">
        <f t="shared" si="16"/>
        <v>0</v>
      </c>
    </row>
    <row r="103" spans="1:12" s="44" customFormat="1" ht="45" customHeight="1" thickBot="1" x14ac:dyDescent="0.3">
      <c r="A103" s="110" t="s">
        <v>266</v>
      </c>
      <c r="B103" s="111" t="s">
        <v>267</v>
      </c>
      <c r="C103" s="625" t="s">
        <v>28</v>
      </c>
      <c r="D103" s="119"/>
      <c r="E103" s="352"/>
      <c r="F103" s="349" t="s">
        <v>268</v>
      </c>
      <c r="G103" s="31"/>
      <c r="H103" s="214"/>
      <c r="I103" s="378"/>
      <c r="J103" s="31"/>
      <c r="K103" s="40">
        <f t="shared" si="15"/>
        <v>0</v>
      </c>
      <c r="L103" s="40">
        <f t="shared" si="16"/>
        <v>0</v>
      </c>
    </row>
    <row r="104" spans="1:12" s="44" customFormat="1" ht="10.35" customHeight="1" x14ac:dyDescent="0.25">
      <c r="A104" s="41"/>
      <c r="B104" s="42"/>
      <c r="C104" s="41"/>
      <c r="D104" s="41"/>
      <c r="E104" s="41"/>
      <c r="F104" s="203"/>
      <c r="G104" s="31"/>
      <c r="H104" s="43"/>
      <c r="I104" s="43"/>
      <c r="J104" s="31"/>
      <c r="K104" s="40">
        <f t="shared" si="15"/>
        <v>0</v>
      </c>
      <c r="L104" s="40">
        <f t="shared" si="16"/>
        <v>0</v>
      </c>
    </row>
    <row r="105" spans="1:12" s="44" customFormat="1" ht="18" thickBot="1" x14ac:dyDescent="0.3">
      <c r="A105" s="45" t="s">
        <v>269</v>
      </c>
      <c r="B105" s="42"/>
      <c r="C105" s="41"/>
      <c r="D105" s="41"/>
      <c r="E105" s="41"/>
      <c r="F105" s="203"/>
      <c r="G105" s="31"/>
      <c r="H105" s="43"/>
      <c r="I105" s="43"/>
      <c r="J105" s="31"/>
      <c r="K105" s="40">
        <f t="shared" si="15"/>
        <v>0</v>
      </c>
      <c r="L105" s="40">
        <f t="shared" si="16"/>
        <v>0</v>
      </c>
    </row>
    <row r="106" spans="1:12" ht="30" customHeight="1" x14ac:dyDescent="0.25">
      <c r="A106" s="72" t="s">
        <v>270</v>
      </c>
      <c r="B106" s="55" t="s">
        <v>271</v>
      </c>
      <c r="C106" s="353" t="s">
        <v>167</v>
      </c>
      <c r="D106" s="3">
        <v>4</v>
      </c>
      <c r="E106" s="634">
        <v>3</v>
      </c>
      <c r="F106" s="489"/>
      <c r="H106" s="212" t="str">
        <f t="shared" ref="H106:I108" si="18">IF(D106&lt;0,"Il valore deve essere maggiore o uguale a zero","")</f>
        <v/>
      </c>
      <c r="I106" s="372" t="str">
        <f t="shared" si="18"/>
        <v/>
      </c>
      <c r="K106" s="40">
        <f t="shared" si="15"/>
        <v>0</v>
      </c>
      <c r="L106" s="40">
        <f t="shared" si="16"/>
        <v>0</v>
      </c>
    </row>
    <row r="107" spans="1:12" ht="47.85" customHeight="1" x14ac:dyDescent="0.25">
      <c r="A107" s="259" t="s">
        <v>272</v>
      </c>
      <c r="B107" s="138" t="s">
        <v>273</v>
      </c>
      <c r="C107" s="354" t="s">
        <v>167</v>
      </c>
      <c r="D107" s="26">
        <v>2422</v>
      </c>
      <c r="E107" s="635">
        <v>1368</v>
      </c>
      <c r="F107" s="366" t="s">
        <v>274</v>
      </c>
      <c r="H107" s="617" t="str">
        <f t="shared" si="18"/>
        <v/>
      </c>
      <c r="I107" s="618" t="str">
        <f t="shared" si="18"/>
        <v/>
      </c>
      <c r="K107" s="40">
        <f t="shared" si="15"/>
        <v>0</v>
      </c>
      <c r="L107" s="40">
        <f t="shared" si="16"/>
        <v>0</v>
      </c>
    </row>
    <row r="108" spans="1:12" ht="32.1" customHeight="1" x14ac:dyDescent="0.25">
      <c r="A108" s="259" t="s">
        <v>275</v>
      </c>
      <c r="B108" s="138" t="s">
        <v>276</v>
      </c>
      <c r="C108" s="354" t="s">
        <v>277</v>
      </c>
      <c r="D108" s="26">
        <v>7</v>
      </c>
      <c r="E108" s="635">
        <v>12</v>
      </c>
      <c r="F108" s="348"/>
      <c r="H108" s="617" t="str">
        <f t="shared" si="18"/>
        <v/>
      </c>
      <c r="I108" s="618" t="str">
        <f t="shared" si="18"/>
        <v/>
      </c>
      <c r="K108" s="40">
        <f t="shared" si="15"/>
        <v>0</v>
      </c>
      <c r="L108" s="40">
        <f t="shared" si="16"/>
        <v>0</v>
      </c>
    </row>
    <row r="109" spans="1:12" ht="56.25" customHeight="1" x14ac:dyDescent="0.25">
      <c r="A109" s="259" t="s">
        <v>278</v>
      </c>
      <c r="B109" s="138" t="s">
        <v>279</v>
      </c>
      <c r="C109" s="354" t="s">
        <v>277</v>
      </c>
      <c r="D109" s="26">
        <v>3997</v>
      </c>
      <c r="E109" s="635">
        <v>3228</v>
      </c>
      <c r="F109" s="348" t="s">
        <v>280</v>
      </c>
      <c r="H109" s="617" t="str">
        <f>IF(D7="X",IF(OR(D109&lt;0,D109=""),"Il valore deve essere maggiore o uguale a zero ",""),IF(D109&lt;&gt;"","Non risulta gestita la distribuzione",""))</f>
        <v/>
      </c>
      <c r="I109" s="618" t="str">
        <f>IF(E7="X",IF(OR(E109&lt;0,E109=""),"Il valore deve essere maggiore o uguale a zero ",""),IF(E109&lt;&gt;"","Non risulta gestita la distribuzione",""))</f>
        <v/>
      </c>
      <c r="K109" s="40">
        <f t="shared" si="15"/>
        <v>0</v>
      </c>
      <c r="L109" s="40">
        <f t="shared" si="16"/>
        <v>0</v>
      </c>
    </row>
    <row r="110" spans="1:12" ht="30" customHeight="1" x14ac:dyDescent="0.25">
      <c r="A110" s="260" t="s">
        <v>281</v>
      </c>
      <c r="B110" s="136" t="s">
        <v>282</v>
      </c>
      <c r="C110" s="546" t="s">
        <v>68</v>
      </c>
      <c r="D110" s="261">
        <f>IF(AND(D66&gt;0,D109&gt;=0,D109&lt;&gt;""),D109/(D66*365),"")</f>
        <v>6.4900639669927398E-5</v>
      </c>
      <c r="E110" s="492">
        <f>IF(AND(E66&gt;0,E109&gt;=0,E109&lt;&gt;""),E109/(E66*365),"")</f>
        <v>5.222501116940585E-5</v>
      </c>
      <c r="F110" s="348" t="s">
        <v>283</v>
      </c>
      <c r="H110" s="617" t="str">
        <f>IF(AND(D7="X",D110=""),"Indicatore non calcolabile","")</f>
        <v/>
      </c>
      <c r="I110" s="618" t="str">
        <f>IF(AND(E7="X",E110=""),"Indicatore non calcolabile","")</f>
        <v/>
      </c>
      <c r="K110" s="40">
        <f t="shared" si="15"/>
        <v>0</v>
      </c>
      <c r="L110" s="40">
        <f t="shared" si="16"/>
        <v>0</v>
      </c>
    </row>
    <row r="111" spans="1:12" ht="53.45" customHeight="1" x14ac:dyDescent="0.25">
      <c r="A111" s="259" t="s">
        <v>284</v>
      </c>
      <c r="B111" s="109" t="s">
        <v>285</v>
      </c>
      <c r="C111" s="354" t="s">
        <v>167</v>
      </c>
      <c r="D111" s="26">
        <v>1858</v>
      </c>
      <c r="E111" s="351">
        <v>1911</v>
      </c>
      <c r="F111" s="348" t="s">
        <v>286</v>
      </c>
      <c r="H111" s="617" t="str">
        <f>IF(AND(D7="X",OR(D111&lt;=0,D111&gt;D99)),"Il valore deve essere maggiore di zero e minore o uguale a C_ACQ-real","")</f>
        <v/>
      </c>
      <c r="I111" s="618" t="str">
        <f>IF(AND(E7="X",OR(E111&lt;=0,E111&gt;E99)),"Il valore deve essere maggiore di zero e minore o uguale a C_ACQ-real","")</f>
        <v/>
      </c>
      <c r="K111" s="40">
        <f t="shared" si="15"/>
        <v>0</v>
      </c>
      <c r="L111" s="40">
        <f t="shared" si="16"/>
        <v>0</v>
      </c>
    </row>
    <row r="112" spans="1:12" ht="45" x14ac:dyDescent="0.25">
      <c r="A112" s="259" t="s">
        <v>287</v>
      </c>
      <c r="B112" s="109" t="s">
        <v>288</v>
      </c>
      <c r="C112" s="354" t="s">
        <v>167</v>
      </c>
      <c r="D112" s="26">
        <v>109</v>
      </c>
      <c r="E112" s="351">
        <v>94</v>
      </c>
      <c r="F112" s="386"/>
      <c r="H112" s="617" t="str">
        <f>IF(AND(D7="X",OR(D112&lt;0,D112&gt;D111,D112="")),"Il valore deve essere maggiore o uguale a zero e minore o uguale a C_ACQ-tot","")</f>
        <v/>
      </c>
      <c r="I112" s="618" t="str">
        <f>IF(AND(E7="X",OR(E112&lt;0,E112&gt;E111,E112="")),"Il valore deve essere maggiore o uguale a zero e minore o uguale a C_ACQ-tot","")</f>
        <v/>
      </c>
      <c r="K112" s="40">
        <f t="shared" si="15"/>
        <v>0</v>
      </c>
      <c r="L112" s="40">
        <f t="shared" si="16"/>
        <v>0</v>
      </c>
    </row>
    <row r="113" spans="1:12" ht="30" customHeight="1" x14ac:dyDescent="0.25">
      <c r="A113" s="262" t="s">
        <v>289</v>
      </c>
      <c r="B113" s="147" t="s">
        <v>290</v>
      </c>
      <c r="C113" s="354" t="s">
        <v>167</v>
      </c>
      <c r="D113" s="26">
        <v>52</v>
      </c>
      <c r="E113" s="351">
        <v>29</v>
      </c>
      <c r="F113" s="348" t="s">
        <v>291</v>
      </c>
      <c r="H113" s="662" t="str">
        <f>IF(OR(D113&lt;&gt;"",D114&lt;&gt;""),IF(OR(D113&lt;0,D114&lt;0,D114+D113&lt;&gt;D112),"Ogni di cui deve essere maggiore o uguale a zero e la somma deve essere pari a  C_ACQ-cnc",""),"")</f>
        <v/>
      </c>
      <c r="I113" s="664" t="str">
        <f>IF(OR(E113&lt;&gt;"",E114&lt;&gt;""),IF(OR(E113&lt;0,E114&lt;0,E114+E113&lt;&gt;E112),"Ogni di cui deve essere maggiore o uguale a zero e la somma deve essere pari a  C_ACQ-cnc",""),"")</f>
        <v/>
      </c>
      <c r="K113" s="40">
        <f t="shared" si="15"/>
        <v>0</v>
      </c>
      <c r="L113" s="40">
        <f t="shared" si="16"/>
        <v>0</v>
      </c>
    </row>
    <row r="114" spans="1:12" ht="30" customHeight="1" x14ac:dyDescent="0.25">
      <c r="A114" s="262" t="s">
        <v>292</v>
      </c>
      <c r="B114" s="147" t="s">
        <v>293</v>
      </c>
      <c r="C114" s="354" t="s">
        <v>167</v>
      </c>
      <c r="D114" s="26">
        <v>57</v>
      </c>
      <c r="E114" s="351">
        <v>65</v>
      </c>
      <c r="F114" s="348" t="s">
        <v>294</v>
      </c>
      <c r="H114" s="663"/>
      <c r="I114" s="665"/>
      <c r="K114" s="40">
        <f t="shared" si="15"/>
        <v>0</v>
      </c>
      <c r="L114" s="40">
        <f t="shared" si="16"/>
        <v>0</v>
      </c>
    </row>
    <row r="115" spans="1:12" ht="30" customHeight="1" x14ac:dyDescent="0.25">
      <c r="A115" s="260" t="s">
        <v>295</v>
      </c>
      <c r="B115" s="136" t="s">
        <v>296</v>
      </c>
      <c r="C115" s="546" t="s">
        <v>68</v>
      </c>
      <c r="D115" s="263">
        <f t="shared" ref="D115:E115" si="19">IF(AND(D111&gt;0,D112&gt;=0,D112&lt;&gt;"",D112&lt;=D111),D112/D111,"")</f>
        <v>5.8665231431646932E-2</v>
      </c>
      <c r="E115" s="493">
        <f t="shared" si="19"/>
        <v>4.9188906331763475E-2</v>
      </c>
      <c r="F115" s="348" t="s">
        <v>297</v>
      </c>
      <c r="H115" s="617" t="str">
        <f>IF(AND(D7="X",D115=""),"Indicatore non calcolabile","")</f>
        <v/>
      </c>
      <c r="I115" s="618" t="str">
        <f>IF(AND(E7="X",E115=""),"Indicatore non calcolabile","")</f>
        <v/>
      </c>
      <c r="K115" s="40">
        <f t="shared" si="15"/>
        <v>0</v>
      </c>
      <c r="L115" s="40">
        <f t="shared" si="16"/>
        <v>0</v>
      </c>
    </row>
    <row r="116" spans="1:12" ht="45" customHeight="1" x14ac:dyDescent="0.25">
      <c r="A116" s="259" t="s">
        <v>298</v>
      </c>
      <c r="B116" s="109" t="s">
        <v>299</v>
      </c>
      <c r="C116" s="354" t="s">
        <v>167</v>
      </c>
      <c r="D116" s="26">
        <v>30047</v>
      </c>
      <c r="E116" s="351">
        <v>31031</v>
      </c>
      <c r="F116" s="490"/>
      <c r="H116" s="617" t="str">
        <f>IF(D7="X",IF(OR(D116&lt;=0,D116&lt;D111),"Il valore deve essere maggiore di zero e maggiore o uguale a C_ACQ-tot",""),IF(D116&lt;&gt;"","Non risulta gestita la distribuzione",""))</f>
        <v/>
      </c>
      <c r="I116" s="618" t="str">
        <f>IF(E7="X",IF(OR(E116&lt;=0,E116&lt;E111),"Il valore deve essere maggiore di zero e maggiore o uguale a C_ACQ-tot",""),IF(E116&lt;&gt;"","Non risulta gestita la distribuzione",""))</f>
        <v/>
      </c>
      <c r="K116" s="40">
        <f t="shared" si="15"/>
        <v>0</v>
      </c>
      <c r="L116" s="40">
        <f t="shared" si="16"/>
        <v>0</v>
      </c>
    </row>
    <row r="117" spans="1:12" ht="45" customHeight="1" x14ac:dyDescent="0.25">
      <c r="A117" s="262" t="s">
        <v>300</v>
      </c>
      <c r="B117" s="109" t="s">
        <v>301</v>
      </c>
      <c r="C117" s="354" t="s">
        <v>167</v>
      </c>
      <c r="D117" s="26">
        <v>157</v>
      </c>
      <c r="E117" s="351">
        <v>130</v>
      </c>
      <c r="F117" s="386"/>
      <c r="H117" s="617" t="str">
        <f>IF(AND(D7="X",OR(D117&lt;0,D117&gt;D116,D117="",D117&lt;D112)),"Il valore deve essere maggiore o uguale a zero, maggiore o uguale a C_ACQ-cnc e minore o uguale a P_ACQ-tot","")</f>
        <v/>
      </c>
      <c r="I117" s="618" t="str">
        <f>IF(AND(E7="X",OR(E117&lt;0,E117&gt;E116,E117="",E117&lt;E112)),"Il valore deve essere maggiore o uguale a zero, maggiore o uguale a C_ACQ-cnc e minore o uguale a P_ACQ-tot","")</f>
        <v/>
      </c>
      <c r="K117" s="40">
        <f t="shared" si="15"/>
        <v>0</v>
      </c>
      <c r="L117" s="40">
        <f t="shared" si="16"/>
        <v>0</v>
      </c>
    </row>
    <row r="118" spans="1:12" ht="30" customHeight="1" x14ac:dyDescent="0.25">
      <c r="A118" s="262" t="s">
        <v>302</v>
      </c>
      <c r="B118" s="147" t="s">
        <v>303</v>
      </c>
      <c r="C118" s="354" t="s">
        <v>167</v>
      </c>
      <c r="D118" s="26">
        <v>49</v>
      </c>
      <c r="E118" s="351">
        <v>34</v>
      </c>
      <c r="F118" s="348" t="s">
        <v>304</v>
      </c>
      <c r="H118" s="666" t="str">
        <f>IF(OR(D118&lt;&gt;"",D119&lt;&gt;"",D120&lt;&gt;""),IF(OR(D118&lt;0,D119&lt;0,D120&lt;0,D118+D119+D120&lt;&gt;D117),"Ogni di cui deve essere maggiore o uguale a zero e la somma deve essere pari a  P_ACQ-pnc",""),"")</f>
        <v/>
      </c>
      <c r="I118" s="667" t="str">
        <f>IF(OR(E118&lt;&gt;"",E119&lt;&gt;"",E120&lt;&gt;""),IF(OR(E118&lt;0,E119&lt;0,E120&lt;0,E118+E119+E120&lt;&gt;E117),"Ogni di cui deve essere maggiore o uguale a zero e la somma deve essere pari a  P_ACQ-pnc",""),"")</f>
        <v/>
      </c>
      <c r="K118" s="40">
        <f t="shared" si="15"/>
        <v>0</v>
      </c>
      <c r="L118" s="40">
        <f t="shared" si="16"/>
        <v>0</v>
      </c>
    </row>
    <row r="119" spans="1:12" ht="30" customHeight="1" x14ac:dyDescent="0.25">
      <c r="A119" s="262" t="s">
        <v>305</v>
      </c>
      <c r="B119" s="147" t="s">
        <v>306</v>
      </c>
      <c r="C119" s="354" t="s">
        <v>167</v>
      </c>
      <c r="D119" s="26">
        <v>14</v>
      </c>
      <c r="E119" s="351">
        <v>4</v>
      </c>
      <c r="F119" s="348" t="s">
        <v>304</v>
      </c>
      <c r="H119" s="666"/>
      <c r="I119" s="667"/>
      <c r="K119" s="40">
        <f t="shared" si="15"/>
        <v>0</v>
      </c>
      <c r="L119" s="40">
        <f t="shared" si="16"/>
        <v>0</v>
      </c>
    </row>
    <row r="120" spans="1:12" ht="30" customHeight="1" x14ac:dyDescent="0.25">
      <c r="A120" s="262" t="s">
        <v>307</v>
      </c>
      <c r="B120" s="147" t="s">
        <v>308</v>
      </c>
      <c r="C120" s="354" t="s">
        <v>167</v>
      </c>
      <c r="D120" s="26">
        <v>94</v>
      </c>
      <c r="E120" s="351">
        <v>92</v>
      </c>
      <c r="F120" s="491"/>
      <c r="H120" s="666"/>
      <c r="I120" s="667"/>
      <c r="K120" s="40">
        <f t="shared" si="15"/>
        <v>0</v>
      </c>
      <c r="L120" s="40">
        <f t="shared" si="16"/>
        <v>0</v>
      </c>
    </row>
    <row r="121" spans="1:12" ht="30" customHeight="1" x14ac:dyDescent="0.25">
      <c r="A121" s="260" t="s">
        <v>309</v>
      </c>
      <c r="B121" s="136" t="s">
        <v>310</v>
      </c>
      <c r="C121" s="546" t="s">
        <v>68</v>
      </c>
      <c r="D121" s="263">
        <f t="shared" ref="D121:E121" si="20">IF(AND(D116&gt;0,D117&gt;=0,D117&lt;&gt;"",D117&lt;=D116),D117/D116,"")</f>
        <v>5.2251472692781313E-3</v>
      </c>
      <c r="E121" s="493">
        <f t="shared" si="20"/>
        <v>4.1893590280687055E-3</v>
      </c>
      <c r="F121" s="348" t="s">
        <v>311</v>
      </c>
      <c r="H121" s="617" t="str">
        <f>IF(AND(D7="X",D121=""),"Indicatore non calcolabile","")</f>
        <v/>
      </c>
      <c r="I121" s="618" t="str">
        <f>IF(AND(E7="X",E121=""),"Indicatore non calcolabile","")</f>
        <v/>
      </c>
      <c r="K121" s="40">
        <f t="shared" si="15"/>
        <v>0</v>
      </c>
      <c r="L121" s="40">
        <f t="shared" si="16"/>
        <v>0</v>
      </c>
    </row>
    <row r="122" spans="1:12" ht="30" customHeight="1" x14ac:dyDescent="0.25">
      <c r="A122" s="260" t="s">
        <v>312</v>
      </c>
      <c r="B122" s="136" t="s">
        <v>313</v>
      </c>
      <c r="C122" s="546" t="s">
        <v>28</v>
      </c>
      <c r="D122" s="184" t="str">
        <f t="shared" ref="D122:E122" si="21">IF(D110="","",IF(AND(D110="",D115="",D121=""),"",IF(D110&gt;(0.005/100),"E",IF(D115&gt;(5/100),"D",IF(D115&gt;(0.5/100),"C",IF(D121&gt;(0.1/100),"B",IF(AND(D121&lt;=(0.1/100),D110=0),"A","B")))))))</f>
        <v>E</v>
      </c>
      <c r="E122" s="27" t="str">
        <f t="shared" si="21"/>
        <v>E</v>
      </c>
      <c r="F122" s="348"/>
      <c r="H122" s="213"/>
      <c r="I122" s="382"/>
      <c r="K122" s="40">
        <f t="shared" si="15"/>
        <v>0</v>
      </c>
      <c r="L122" s="40">
        <f t="shared" si="16"/>
        <v>0</v>
      </c>
    </row>
    <row r="123" spans="1:12" ht="30" customHeight="1" x14ac:dyDescent="0.25">
      <c r="A123" s="260" t="s">
        <v>314</v>
      </c>
      <c r="B123" s="136" t="s">
        <v>315</v>
      </c>
      <c r="C123" s="546" t="s">
        <v>28</v>
      </c>
      <c r="D123" s="619" t="str">
        <f t="shared" ref="D123:E123" si="22">IF(D122="A","Mantenimento",IF(D122="B","M3a=0 e -10% di M3c",IF(OR(D122="C",D122="D",D122="E"),"Classe prec. in 2 anni","")))</f>
        <v>Classe prec. in 2 anni</v>
      </c>
      <c r="E123" s="620" t="str">
        <f t="shared" si="22"/>
        <v>Classe prec. in 2 anni</v>
      </c>
      <c r="F123" s="348"/>
      <c r="H123" s="213"/>
      <c r="I123" s="382"/>
      <c r="K123" s="40">
        <f t="shared" si="15"/>
        <v>0</v>
      </c>
      <c r="L123" s="40">
        <f t="shared" si="16"/>
        <v>0</v>
      </c>
    </row>
    <row r="124" spans="1:12" ht="45" customHeight="1" x14ac:dyDescent="0.25">
      <c r="A124" s="510" t="s">
        <v>316</v>
      </c>
      <c r="B124" s="136" t="s">
        <v>317</v>
      </c>
      <c r="C124" s="546" t="s">
        <v>318</v>
      </c>
      <c r="D124" s="264">
        <f>IF(AND(D39&gt;0,D111&gt;0),D111/D39*1000,"")</f>
        <v>8.7150674369385367E-2</v>
      </c>
      <c r="E124" s="494">
        <f>IF(AND(E39&gt;0,E111&gt;0),E111/E39*1000,"")</f>
        <v>8.9299244853622839E-2</v>
      </c>
      <c r="F124" s="348" t="s">
        <v>319</v>
      </c>
      <c r="H124" s="221"/>
      <c r="I124" s="382"/>
      <c r="K124" s="40">
        <f t="shared" si="15"/>
        <v>0</v>
      </c>
      <c r="L124" s="40">
        <f t="shared" si="16"/>
        <v>0</v>
      </c>
    </row>
    <row r="125" spans="1:12" ht="45" customHeight="1" x14ac:dyDescent="0.25">
      <c r="A125" s="262" t="s">
        <v>320</v>
      </c>
      <c r="B125" s="109" t="s">
        <v>321</v>
      </c>
      <c r="C125" s="546" t="s">
        <v>28</v>
      </c>
      <c r="D125" s="116" t="s">
        <v>33</v>
      </c>
      <c r="E125" s="400" t="s">
        <v>33</v>
      </c>
      <c r="F125" s="348" t="s">
        <v>322</v>
      </c>
      <c r="H125" s="213"/>
      <c r="I125" s="382"/>
      <c r="K125" s="40">
        <f t="shared" si="15"/>
        <v>0</v>
      </c>
      <c r="L125" s="40">
        <f t="shared" si="16"/>
        <v>0</v>
      </c>
    </row>
    <row r="126" spans="1:12" ht="45" customHeight="1" x14ac:dyDescent="0.25">
      <c r="A126" s="259" t="s">
        <v>323</v>
      </c>
      <c r="B126" s="138" t="s">
        <v>324</v>
      </c>
      <c r="C126" s="354" t="s">
        <v>167</v>
      </c>
      <c r="D126" s="26">
        <v>95000</v>
      </c>
      <c r="E126" s="351">
        <v>95000</v>
      </c>
      <c r="F126" s="348"/>
      <c r="H126" s="617" t="str">
        <f>IF(AND(D126&lt;&gt;"",OR(D126&gt;D66,D126&lt;0)),"Il valore deve essere maggiore o uguale a zero e inferiore o uguale a U_tot,ACQ","")</f>
        <v/>
      </c>
      <c r="I126" s="618" t="str">
        <f>IF(AND(E126&lt;&gt;"",OR(E126&gt;E66,E126&lt;0)),"Il valore deve essere maggiore o uguale a zero e inferiore o uguale a U_tot,ACQ","")</f>
        <v/>
      </c>
      <c r="K126" s="40">
        <f t="shared" si="15"/>
        <v>0</v>
      </c>
      <c r="L126" s="40">
        <f t="shared" si="16"/>
        <v>0</v>
      </c>
    </row>
    <row r="127" spans="1:12" ht="30" customHeight="1" thickBot="1" x14ac:dyDescent="0.3">
      <c r="A127" s="266" t="s">
        <v>325</v>
      </c>
      <c r="B127" s="250" t="s">
        <v>326</v>
      </c>
      <c r="C127" s="626" t="s">
        <v>68</v>
      </c>
      <c r="D127" s="267">
        <f>IF(AND(D66&gt;0,D126&lt;=D66,D126&gt;=0),D126/D66,"")</f>
        <v>0.56302969240798906</v>
      </c>
      <c r="E127" s="495">
        <f>IF(AND(E66&gt;0,E126&lt;=E66,E126&gt;=0),E126/E66,"")</f>
        <v>0.56099822252142129</v>
      </c>
      <c r="F127" s="349" t="s">
        <v>327</v>
      </c>
      <c r="H127" s="214"/>
      <c r="I127" s="378"/>
      <c r="K127" s="40">
        <f t="shared" si="15"/>
        <v>0</v>
      </c>
      <c r="L127" s="40">
        <f t="shared" si="16"/>
        <v>0</v>
      </c>
    </row>
    <row r="129" spans="1:12" ht="17.25" x14ac:dyDescent="0.25">
      <c r="A129" s="593" t="s">
        <v>328</v>
      </c>
    </row>
    <row r="130" spans="1:12" s="44" customFormat="1" ht="44.25" customHeight="1" x14ac:dyDescent="0.25">
      <c r="A130" s="547" t="s">
        <v>329</v>
      </c>
      <c r="B130" s="548" t="s">
        <v>330</v>
      </c>
      <c r="C130" s="552" t="s">
        <v>62</v>
      </c>
      <c r="D130" s="1">
        <v>20770862</v>
      </c>
      <c r="E130" s="397">
        <v>20874786</v>
      </c>
      <c r="F130" s="347" t="s">
        <v>331</v>
      </c>
      <c r="G130" s="31"/>
      <c r="H130" s="212" t="str">
        <f>IF(OR(D130&lt;0,D130&gt;D19),"Il valore deve essere maggiore o uguale a zero e minore o uguale a WUtot","")</f>
        <v/>
      </c>
      <c r="I130" s="372" t="str">
        <f>IF(OR(E130&lt;0,E130&gt;E19),"Il valore deve essere maggiore o uguale a zero e minore o uguale a WUtot","")</f>
        <v/>
      </c>
      <c r="J130" s="31"/>
      <c r="K130" s="40">
        <f t="shared" ref="K130:K134" si="23">IF(H130="",0,1)</f>
        <v>0</v>
      </c>
      <c r="L130" s="40">
        <f t="shared" ref="L130:L134" si="24">IF(I130="",0,1)</f>
        <v>0</v>
      </c>
    </row>
    <row r="131" spans="1:12" s="44" customFormat="1" ht="51.75" customHeight="1" x14ac:dyDescent="0.25">
      <c r="A131" s="549" t="s">
        <v>332</v>
      </c>
      <c r="B131" s="539" t="s">
        <v>333</v>
      </c>
      <c r="C131" s="553" t="s">
        <v>62</v>
      </c>
      <c r="D131" s="169">
        <v>17690503</v>
      </c>
      <c r="E131" s="394">
        <v>17732907</v>
      </c>
      <c r="F131" s="348"/>
      <c r="G131" s="31"/>
      <c r="H131" s="658" t="str">
        <f>IF(AND(D3="SI",OR(D131&lt;0,D132&lt;0,D132+D131&lt;&gt;D130)),"Ogni di cui deve essere maggiore o uguale a zero e la somma deve essere pari a WUval","")</f>
        <v/>
      </c>
      <c r="I131" s="659" t="str">
        <f>IF(AND(E3="SI",OR(E131&lt;0,E132&lt;0,E132+E131&lt;&gt;E130)),"Ogni di cui deve essere maggiore o uguale a zero e la somma deve essere pari a WUval","")</f>
        <v/>
      </c>
      <c r="J131" s="31"/>
      <c r="K131" s="40">
        <f t="shared" si="23"/>
        <v>0</v>
      </c>
      <c r="L131" s="40">
        <f t="shared" si="24"/>
        <v>0</v>
      </c>
    </row>
    <row r="132" spans="1:12" s="44" customFormat="1" ht="48.75" customHeight="1" x14ac:dyDescent="0.25">
      <c r="A132" s="549" t="s">
        <v>334</v>
      </c>
      <c r="B132" s="539" t="s">
        <v>335</v>
      </c>
      <c r="C132" s="553" t="s">
        <v>62</v>
      </c>
      <c r="D132" s="169">
        <v>3080359</v>
      </c>
      <c r="E132" s="394">
        <v>3141879</v>
      </c>
      <c r="F132" s="348"/>
      <c r="G132" s="31"/>
      <c r="H132" s="658"/>
      <c r="I132" s="659"/>
      <c r="J132" s="31"/>
      <c r="K132" s="40">
        <f t="shared" si="23"/>
        <v>0</v>
      </c>
      <c r="L132" s="40">
        <f t="shared" si="24"/>
        <v>0</v>
      </c>
    </row>
    <row r="133" spans="1:12" s="44" customFormat="1" ht="30" customHeight="1" x14ac:dyDescent="0.25">
      <c r="A133" s="537" t="s">
        <v>336</v>
      </c>
      <c r="B133" s="538" t="s">
        <v>337</v>
      </c>
      <c r="C133" s="554" t="s">
        <v>68</v>
      </c>
      <c r="D133" s="248">
        <f>IF(AND(D130&gt;0,D19&gt;0),D130/D19,"")</f>
        <v>0.97427052235384304</v>
      </c>
      <c r="E133" s="317">
        <f>IF(AND(E130&gt;0,E19&gt;0),E130/E19,"")</f>
        <v>0.96478746172931984</v>
      </c>
      <c r="F133" s="348" t="s">
        <v>338</v>
      </c>
      <c r="G133" s="31"/>
      <c r="H133" s="210"/>
      <c r="I133" s="374"/>
      <c r="J133" s="31"/>
      <c r="K133" s="40">
        <f t="shared" si="23"/>
        <v>0</v>
      </c>
      <c r="L133" s="40">
        <f t="shared" si="24"/>
        <v>0</v>
      </c>
    </row>
    <row r="134" spans="1:12" s="44" customFormat="1" ht="69" customHeight="1" x14ac:dyDescent="0.25">
      <c r="A134" s="549" t="s">
        <v>339</v>
      </c>
      <c r="B134" s="265" t="s">
        <v>340</v>
      </c>
      <c r="C134" s="553" t="s">
        <v>62</v>
      </c>
      <c r="D134" s="394">
        <v>31371784</v>
      </c>
      <c r="E134" s="394">
        <v>33248128</v>
      </c>
      <c r="F134" s="348" t="s">
        <v>341</v>
      </c>
      <c r="G134" s="31"/>
      <c r="H134" s="617" t="str">
        <f>IF(OR(D134&lt;0,D134&gt;D16),"Il valore deve essere maggiore o uguale a zero e minore o uguale a WPtot","")</f>
        <v/>
      </c>
      <c r="I134" s="618" t="str">
        <f>IF(OR(E134&lt;0,E134&gt;E16),"Il valore deve essere maggiore o uguale a zero e minore o uguale a WPtot","")</f>
        <v/>
      </c>
      <c r="J134" s="31"/>
      <c r="K134" s="40">
        <f t="shared" si="23"/>
        <v>0</v>
      </c>
      <c r="L134" s="40">
        <f t="shared" si="24"/>
        <v>0</v>
      </c>
    </row>
    <row r="135" spans="1:12" s="44" customFormat="1" ht="30" customHeight="1" x14ac:dyDescent="0.25">
      <c r="A135" s="537" t="s">
        <v>342</v>
      </c>
      <c r="B135" s="538" t="s">
        <v>343</v>
      </c>
      <c r="C135" s="554" t="s">
        <v>68</v>
      </c>
      <c r="D135" s="248">
        <f>IF(AND(D134&gt;0,D16&gt;0),D134/D16,"")</f>
        <v>0.90315207772757866</v>
      </c>
      <c r="E135" s="317">
        <f>IF(AND(E134&gt;0,E16&gt;0),E134/E16,"")</f>
        <v>0.93745123867272573</v>
      </c>
      <c r="F135" s="348" t="s">
        <v>344</v>
      </c>
      <c r="G135" s="31"/>
      <c r="H135" s="210"/>
      <c r="I135" s="374"/>
      <c r="J135" s="31"/>
      <c r="K135" s="40">
        <f t="shared" ref="K135:K136" si="25">IF(H135="",0,1)</f>
        <v>0</v>
      </c>
      <c r="L135" s="40">
        <f t="shared" ref="L135:L136" si="26">IF(I135="",0,1)</f>
        <v>0</v>
      </c>
    </row>
    <row r="136" spans="1:12" s="44" customFormat="1" ht="44.25" customHeight="1" x14ac:dyDescent="0.25">
      <c r="A136" s="549" t="s">
        <v>345</v>
      </c>
      <c r="B136" s="540" t="s">
        <v>346</v>
      </c>
      <c r="C136" s="553" t="s">
        <v>62</v>
      </c>
      <c r="D136" s="26"/>
      <c r="E136" s="351"/>
      <c r="F136" s="348" t="s">
        <v>347</v>
      </c>
      <c r="G136" s="31"/>
      <c r="H136" s="617" t="str">
        <f>IF(OR(D136&lt;0,D136&gt;D19),"Il valore deve essere maggiore o uguale a zero e minore o uguale a WUtot","")</f>
        <v/>
      </c>
      <c r="I136" s="618" t="str">
        <f>IF(OR(E136&lt;0,E136&gt;E19),"Il valore deve essere maggiore o uguale a zero e minore o uguale a WUtot","")</f>
        <v/>
      </c>
      <c r="J136" s="31"/>
      <c r="K136" s="40">
        <f t="shared" si="25"/>
        <v>0</v>
      </c>
      <c r="L136" s="40">
        <f t="shared" si="26"/>
        <v>0</v>
      </c>
    </row>
    <row r="137" spans="1:12" s="44" customFormat="1" ht="30" customHeight="1" x14ac:dyDescent="0.25">
      <c r="A137" s="549" t="s">
        <v>348</v>
      </c>
      <c r="B137" s="539" t="s">
        <v>349</v>
      </c>
      <c r="C137" s="553" t="s">
        <v>62</v>
      </c>
      <c r="D137" s="26"/>
      <c r="E137" s="351"/>
      <c r="F137" s="348" t="s">
        <v>350</v>
      </c>
      <c r="G137" s="31"/>
      <c r="H137" s="617" t="str">
        <f>IF(OR(D137&lt;0,D137&gt;D136),"Il valore deve essere maggiore o uguale a zero e minore o uguale a WUsm","")</f>
        <v/>
      </c>
      <c r="I137" s="618" t="str">
        <f>IF(OR(E137&lt;0,E137&gt;E136),"Il valore deve essere maggiore o uguale a zero e minore o uguale a WUsm","")</f>
        <v/>
      </c>
      <c r="J137" s="31"/>
      <c r="K137" s="40">
        <f t="shared" ref="K137:K139" si="27">IF(H137="",0,1)</f>
        <v>0</v>
      </c>
      <c r="L137" s="40">
        <f t="shared" ref="L137:L139" si="28">IF(I137="",0,1)</f>
        <v>0</v>
      </c>
    </row>
    <row r="138" spans="1:12" s="44" customFormat="1" ht="30" customHeight="1" x14ac:dyDescent="0.25">
      <c r="A138" s="537" t="s">
        <v>351</v>
      </c>
      <c r="B138" s="538" t="s">
        <v>352</v>
      </c>
      <c r="C138" s="554" t="s">
        <v>68</v>
      </c>
      <c r="D138" s="185" t="str">
        <f>IF(AND(D137&gt;0,D19&gt;0),D137/D19,"")</f>
        <v/>
      </c>
      <c r="E138" s="441" t="str">
        <f>IF(AND(E137&gt;0,E19&gt;0),E137/E19,"")</f>
        <v/>
      </c>
      <c r="F138" s="348" t="s">
        <v>353</v>
      </c>
      <c r="G138" s="31"/>
      <c r="H138" s="210"/>
      <c r="I138" s="374"/>
      <c r="J138" s="31"/>
      <c r="K138" s="40">
        <f t="shared" si="27"/>
        <v>0</v>
      </c>
      <c r="L138" s="40">
        <f t="shared" si="28"/>
        <v>0</v>
      </c>
    </row>
    <row r="139" spans="1:12" s="44" customFormat="1" ht="44.25" customHeight="1" x14ac:dyDescent="0.25">
      <c r="A139" s="549" t="s">
        <v>354</v>
      </c>
      <c r="B139" s="540" t="s">
        <v>355</v>
      </c>
      <c r="C139" s="553" t="s">
        <v>62</v>
      </c>
      <c r="D139" s="26"/>
      <c r="E139" s="351"/>
      <c r="F139" s="348" t="s">
        <v>347</v>
      </c>
      <c r="G139" s="31"/>
      <c r="H139" s="617" t="str">
        <f>IF(OR(D139&lt;0,D139&gt;D16),"Il valore deve essere maggiore o uguale a zero e minore o uguale a WPtot","")</f>
        <v/>
      </c>
      <c r="I139" s="618" t="str">
        <f>IF(OR(E139&lt;0,E139&gt;E16),"Il valore deve essere maggiore o uguale a zero e minore o uguale a WPtot","")</f>
        <v/>
      </c>
      <c r="J139" s="31"/>
      <c r="K139" s="40">
        <f t="shared" si="27"/>
        <v>0</v>
      </c>
      <c r="L139" s="40">
        <f t="shared" si="28"/>
        <v>0</v>
      </c>
    </row>
    <row r="140" spans="1:12" s="44" customFormat="1" ht="30" customHeight="1" x14ac:dyDescent="0.25">
      <c r="A140" s="549" t="s">
        <v>356</v>
      </c>
      <c r="B140" s="539" t="s">
        <v>357</v>
      </c>
      <c r="C140" s="553" t="s">
        <v>62</v>
      </c>
      <c r="D140" s="26"/>
      <c r="E140" s="351"/>
      <c r="F140" s="348" t="s">
        <v>350</v>
      </c>
      <c r="G140" s="31"/>
      <c r="H140" s="617" t="str">
        <f>IF(OR(D140&lt;0,D140&gt;D139),"Il valore deve essere maggiore o uguale a zero e minore o uguale a WPsm_tel","")</f>
        <v/>
      </c>
      <c r="I140" s="618" t="str">
        <f>IF(OR(E140&lt;0,E140&gt;E139),"Il valore deve essere maggiore o uguale a zero e minore o uguale a WPsm_tel","")</f>
        <v/>
      </c>
      <c r="J140" s="31"/>
      <c r="K140" s="40">
        <f t="shared" ref="K140:K142" si="29">IF(H140="",0,1)</f>
        <v>0</v>
      </c>
      <c r="L140" s="40">
        <f t="shared" ref="L140:L142" si="30">IF(I140="",0,1)</f>
        <v>0</v>
      </c>
    </row>
    <row r="141" spans="1:12" s="44" customFormat="1" ht="30" customHeight="1" x14ac:dyDescent="0.25">
      <c r="A141" s="537" t="s">
        <v>358</v>
      </c>
      <c r="B141" s="538" t="s">
        <v>359</v>
      </c>
      <c r="C141" s="554" t="s">
        <v>68</v>
      </c>
      <c r="D141" s="185" t="str">
        <f>IF(AND(D140&gt;0,D16&gt;0),D140/D16,"")</f>
        <v/>
      </c>
      <c r="E141" s="441" t="str">
        <f>IF(AND(E140&gt;0,E16&gt;0),E140/E16,"")</f>
        <v/>
      </c>
      <c r="F141" s="348" t="s">
        <v>360</v>
      </c>
      <c r="G141" s="31"/>
      <c r="H141" s="210"/>
      <c r="I141" s="374"/>
      <c r="J141" s="31"/>
      <c r="K141" s="40">
        <f t="shared" si="29"/>
        <v>0</v>
      </c>
      <c r="L141" s="40">
        <f t="shared" si="30"/>
        <v>0</v>
      </c>
    </row>
    <row r="142" spans="1:12" ht="32.1" customHeight="1" x14ac:dyDescent="0.25">
      <c r="A142" s="549" t="s">
        <v>361</v>
      </c>
      <c r="B142" s="540" t="s">
        <v>362</v>
      </c>
      <c r="C142" s="555" t="s">
        <v>62</v>
      </c>
      <c r="D142" s="26">
        <v>21226952</v>
      </c>
      <c r="E142" s="351">
        <v>21308726</v>
      </c>
      <c r="F142" s="348" t="s">
        <v>363</v>
      </c>
      <c r="H142" s="658" t="str">
        <f>IF(AND(D3="SI",OR(D142&lt;0,D143&lt;0,(D143+D142)&lt;&gt;(D32+D39))),"La somma di Wm,F e Wnm,F non coincide con il valore (Wesp+RW): motivare in relazione, anche con riferimento al bilancio idrico della rete di adduzione","")</f>
        <v/>
      </c>
      <c r="I142" s="659" t="str">
        <f>IF(AND(E3="SI",OR(E142&lt;0,E143&lt;0,(E143+E142)&lt;&gt;(E32+E39))),"La somma di Wm,F e Wnm,F non coincide con il valore (Wesp+RW): motivare in relazione, anche con riferimento al bilancio idrico della rete di adduzione","")</f>
        <v/>
      </c>
      <c r="K142" s="40">
        <f t="shared" si="29"/>
        <v>0</v>
      </c>
      <c r="L142" s="40">
        <f t="shared" si="30"/>
        <v>0</v>
      </c>
    </row>
    <row r="143" spans="1:12" ht="32.1" customHeight="1" x14ac:dyDescent="0.25">
      <c r="A143" s="549" t="s">
        <v>364</v>
      </c>
      <c r="B143" s="540" t="s">
        <v>365</v>
      </c>
      <c r="C143" s="555" t="s">
        <v>62</v>
      </c>
      <c r="D143" s="26">
        <v>92447</v>
      </c>
      <c r="E143" s="351">
        <v>91231</v>
      </c>
      <c r="F143" s="348"/>
      <c r="H143" s="658"/>
      <c r="I143" s="659"/>
      <c r="K143" s="40">
        <f t="shared" ref="K143" si="31">IF(H143="",0,1)</f>
        <v>0</v>
      </c>
      <c r="L143" s="40">
        <f t="shared" ref="L143" si="32">IF(I143="",0,1)</f>
        <v>0</v>
      </c>
    </row>
    <row r="144" spans="1:12" ht="32.1" customHeight="1" x14ac:dyDescent="0.25">
      <c r="A144" s="549" t="s">
        <v>366</v>
      </c>
      <c r="B144" s="540" t="s">
        <v>367</v>
      </c>
      <c r="C144" s="555" t="s">
        <v>62</v>
      </c>
      <c r="D144" s="26">
        <v>103971</v>
      </c>
      <c r="E144" s="351">
        <v>236711</v>
      </c>
      <c r="F144" s="348" t="s">
        <v>368</v>
      </c>
      <c r="H144" s="658" t="str">
        <f>IF(AND(D3="SI",OR(D144&lt;0,D145&lt;0,(D145+D144)&lt;&gt;(D40-D37))),"La somma di Wm,NF e Wnm,NF non coincide con il valore (NRW-WLD): motivare in relazione, anche con riferimento al bilancio idrico della rete di adduzione","")</f>
        <v/>
      </c>
      <c r="I144" s="659" t="str">
        <f>IF(AND(E3="SI",OR(E144&lt;0,E145&lt;0,(E145+E144)&lt;&gt;(E40-E37))),"La somma di Wm,NF e Wnm,NF non coincide con il valore (NRW-WLD): motivare in relazione, anche con riferimento al bilancio idrico della rete di adduzione","")</f>
        <v/>
      </c>
      <c r="K144" s="40">
        <f>IF(H144="",0,1)</f>
        <v>0</v>
      </c>
      <c r="L144" s="40">
        <f t="shared" ref="L144" si="33">IF(I144="",0,1)</f>
        <v>0</v>
      </c>
    </row>
    <row r="145" spans="1:12" ht="32.1" customHeight="1" x14ac:dyDescent="0.25">
      <c r="A145" s="550" t="s">
        <v>369</v>
      </c>
      <c r="B145" s="551" t="s">
        <v>370</v>
      </c>
      <c r="C145" s="627" t="s">
        <v>62</v>
      </c>
      <c r="D145" s="274">
        <v>106134</v>
      </c>
      <c r="E145" s="361">
        <v>106543</v>
      </c>
      <c r="F145" s="349" t="s">
        <v>368</v>
      </c>
      <c r="H145" s="660"/>
      <c r="I145" s="661"/>
      <c r="K145" s="40">
        <f>IF(H145="",0,1)</f>
        <v>0</v>
      </c>
      <c r="L145" s="40">
        <f t="shared" ref="L145" si="34">IF(I145="",0,1)</f>
        <v>0</v>
      </c>
    </row>
    <row r="148" spans="1:12" hidden="1" x14ac:dyDescent="0.25">
      <c r="B148" s="277" t="s">
        <v>82</v>
      </c>
    </row>
    <row r="149" spans="1:12" hidden="1" x14ac:dyDescent="0.25">
      <c r="B149" s="76" t="s">
        <v>371</v>
      </c>
    </row>
    <row r="150" spans="1:12" hidden="1" x14ac:dyDescent="0.25">
      <c r="B150" s="278" t="s">
        <v>29</v>
      </c>
    </row>
    <row r="151" spans="1:12" hidden="1" x14ac:dyDescent="0.25">
      <c r="B151" s="77" t="s">
        <v>372</v>
      </c>
    </row>
    <row r="152" spans="1:12" hidden="1" x14ac:dyDescent="0.25">
      <c r="B152" s="78"/>
    </row>
    <row r="153" spans="1:12" hidden="1" x14ac:dyDescent="0.25">
      <c r="B153" s="279"/>
    </row>
    <row r="154" spans="1:12" hidden="1" x14ac:dyDescent="0.25">
      <c r="A154" s="79"/>
      <c r="B154" s="80" t="s">
        <v>33</v>
      </c>
    </row>
  </sheetData>
  <mergeCells count="22">
    <mergeCell ref="H42:H43"/>
    <mergeCell ref="I42:I43"/>
    <mergeCell ref="H60:H61"/>
    <mergeCell ref="I60:I61"/>
    <mergeCell ref="H28:H29"/>
    <mergeCell ref="I28:I29"/>
    <mergeCell ref="H34:H37"/>
    <mergeCell ref="I34:I37"/>
    <mergeCell ref="H64:H65"/>
    <mergeCell ref="I64:I65"/>
    <mergeCell ref="H118:H120"/>
    <mergeCell ref="I118:I120"/>
    <mergeCell ref="H83:H84"/>
    <mergeCell ref="I83:I84"/>
    <mergeCell ref="H113:H114"/>
    <mergeCell ref="I113:I114"/>
    <mergeCell ref="H142:H143"/>
    <mergeCell ref="I142:I143"/>
    <mergeCell ref="H144:H145"/>
    <mergeCell ref="I144:I145"/>
    <mergeCell ref="H131:H132"/>
    <mergeCell ref="I131:I132"/>
  </mergeCells>
  <conditionalFormatting sqref="K2:L2">
    <cfRule type="cellIs" dxfId="19" priority="1" operator="lessThanOrEqual">
      <formula>0</formula>
    </cfRule>
    <cfRule type="cellIs" dxfId="18" priority="2" operator="greaterThan">
      <formula>0</formula>
    </cfRule>
  </conditionalFormatting>
  <dataValidations count="4">
    <dataValidation type="list" allowBlank="1" showInputMessage="1" showErrorMessage="1" sqref="D3:E3" xr:uid="{00000000-0002-0000-0100-000000000000}">
      <formula1>$B$150:$B$151</formula1>
    </dataValidation>
    <dataValidation type="list" showInputMessage="1" showErrorMessage="1" sqref="D4:E7" xr:uid="{00000000-0002-0000-0100-000001000000}">
      <formula1>$B$153:$B$154</formula1>
    </dataValidation>
    <dataValidation type="list" showInputMessage="1" showErrorMessage="1" sqref="D23:E23 D55:E55 D102:E102" xr:uid="{00000000-0002-0000-0100-000002000000}">
      <formula1>$B$148:$B$149</formula1>
    </dataValidation>
    <dataValidation type="list" allowBlank="1" showInputMessage="1" showErrorMessage="1" sqref="D24:E24 D56:E56 D78:E79 D94:E96 D103:E103 D125:E125" xr:uid="{00000000-0002-0000-0100-000003000000}">
      <formula1>$B$153:$B$154</formula1>
    </dataValidation>
  </dataValidations>
  <pageMargins left="0.59055118110236227" right="0.23622047244094491" top="0.31496062992125984" bottom="0.35433070866141736" header="0.15748031496062992" footer="0.19685039370078741"/>
  <pageSetup paperSize="8" scale="40" fitToHeight="0" orientation="landscape" r:id="rId1"/>
  <ignoredErrors>
    <ignoredError sqref="H9 I9" formula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64">
    <tabColor theme="4" tint="0.39997558519241921"/>
    <pageSetUpPr fitToPage="1"/>
  </sheetPr>
  <dimension ref="A1:L194"/>
  <sheetViews>
    <sheetView showGridLines="0" zoomScale="80" zoomScaleNormal="80" workbookViewId="0">
      <pane xSplit="3" ySplit="2" topLeftCell="D14" activePane="bottomRight" state="frozen"/>
      <selection pane="topRight" activeCell="B4" sqref="B4"/>
      <selection pane="bottomLeft" activeCell="B4" sqref="B4"/>
      <selection pane="bottomRight" activeCell="E17" sqref="E17"/>
    </sheetView>
  </sheetViews>
  <sheetFormatPr defaultColWidth="8.85546875" defaultRowHeight="15" x14ac:dyDescent="0.25"/>
  <cols>
    <col min="1" max="1" width="12.85546875" customWidth="1"/>
    <col min="2" max="2" width="50.85546875" customWidth="1"/>
    <col min="3" max="3" width="9.85546875" customWidth="1"/>
    <col min="4" max="5" width="14.85546875" customWidth="1"/>
    <col min="6" max="6" width="50.85546875" customWidth="1"/>
    <col min="7" max="7" width="2.85546875" customWidth="1"/>
    <col min="8" max="9" width="25.85546875" customWidth="1"/>
    <col min="10" max="10" width="2.85546875" customWidth="1"/>
    <col min="11" max="12" width="20.85546875" style="53" customWidth="1"/>
  </cols>
  <sheetData>
    <row r="1" spans="1:12" ht="69.95" customHeight="1" thickBot="1" x14ac:dyDescent="0.3">
      <c r="A1" s="28"/>
      <c r="B1" s="29" t="s">
        <v>15</v>
      </c>
      <c r="C1" s="28"/>
      <c r="D1" s="30"/>
      <c r="E1" s="30"/>
      <c r="F1" s="31"/>
      <c r="K1" s="229" t="s">
        <v>16</v>
      </c>
      <c r="L1" s="379" t="s">
        <v>17</v>
      </c>
    </row>
    <row r="2" spans="1:12" ht="70.349999999999994" customHeight="1" thickBot="1" x14ac:dyDescent="0.3">
      <c r="A2" s="32" t="s">
        <v>18</v>
      </c>
      <c r="B2" s="33" t="s">
        <v>19</v>
      </c>
      <c r="C2" s="343" t="s">
        <v>20</v>
      </c>
      <c r="D2" s="306" t="s">
        <v>21</v>
      </c>
      <c r="E2" s="403" t="s">
        <v>22</v>
      </c>
      <c r="F2" s="344" t="s">
        <v>23</v>
      </c>
      <c r="H2" s="209" t="s">
        <v>24</v>
      </c>
      <c r="I2" s="381" t="s">
        <v>25</v>
      </c>
      <c r="K2" s="230">
        <f>SUM(K3:K47)</f>
        <v>0</v>
      </c>
      <c r="L2" s="380">
        <f>SUM(L3:L47)</f>
        <v>0</v>
      </c>
    </row>
    <row r="3" spans="1:12" ht="32.1" customHeight="1" x14ac:dyDescent="0.25">
      <c r="A3" s="81" t="s">
        <v>373</v>
      </c>
      <c r="B3" s="55" t="s">
        <v>374</v>
      </c>
      <c r="C3" s="56" t="s">
        <v>28</v>
      </c>
      <c r="D3" s="4" t="s">
        <v>29</v>
      </c>
      <c r="E3" s="406" t="s">
        <v>29</v>
      </c>
      <c r="F3" s="355" t="s">
        <v>30</v>
      </c>
      <c r="H3" s="224"/>
      <c r="I3" s="435"/>
      <c r="K3" s="40">
        <f t="shared" ref="K3:K47" si="0">IF(H3="",0,1)</f>
        <v>0</v>
      </c>
      <c r="L3" s="40">
        <f t="shared" ref="L3:L47" si="1">IF(I3="",0,1)</f>
        <v>0</v>
      </c>
    </row>
    <row r="4" spans="1:12" ht="25.35" customHeight="1" x14ac:dyDescent="0.25">
      <c r="A4" s="231" t="s">
        <v>375</v>
      </c>
      <c r="B4" s="151" t="s">
        <v>376</v>
      </c>
      <c r="C4" s="232" t="s">
        <v>28</v>
      </c>
      <c r="D4" s="176" t="s">
        <v>33</v>
      </c>
      <c r="E4" s="407" t="s">
        <v>33</v>
      </c>
      <c r="F4" s="404"/>
      <c r="H4" s="215"/>
      <c r="I4" s="429"/>
      <c r="K4" s="40">
        <f t="shared" si="0"/>
        <v>0</v>
      </c>
      <c r="L4" s="40">
        <f t="shared" si="1"/>
        <v>0</v>
      </c>
    </row>
    <row r="5" spans="1:12" ht="25.35" customHeight="1" x14ac:dyDescent="0.25">
      <c r="A5" s="231" t="s">
        <v>377</v>
      </c>
      <c r="B5" s="151" t="s">
        <v>378</v>
      </c>
      <c r="C5" s="232" t="s">
        <v>28</v>
      </c>
      <c r="D5" s="176" t="s">
        <v>33</v>
      </c>
      <c r="E5" s="407" t="s">
        <v>33</v>
      </c>
      <c r="F5" s="404"/>
      <c r="H5" s="215"/>
      <c r="I5" s="429"/>
      <c r="K5" s="40">
        <f t="shared" si="0"/>
        <v>0</v>
      </c>
      <c r="L5" s="40">
        <f t="shared" si="1"/>
        <v>0</v>
      </c>
    </row>
    <row r="6" spans="1:12" ht="25.35" customHeight="1" x14ac:dyDescent="0.25">
      <c r="A6" s="231" t="s">
        <v>379</v>
      </c>
      <c r="B6" s="151" t="s">
        <v>380</v>
      </c>
      <c r="C6" s="232" t="s">
        <v>28</v>
      </c>
      <c r="D6" s="176" t="s">
        <v>33</v>
      </c>
      <c r="E6" s="407" t="s">
        <v>33</v>
      </c>
      <c r="F6" s="405" t="s">
        <v>381</v>
      </c>
      <c r="H6" s="215"/>
      <c r="I6" s="429"/>
      <c r="K6" s="40">
        <f t="shared" si="0"/>
        <v>0</v>
      </c>
      <c r="L6" s="40">
        <f t="shared" si="1"/>
        <v>0</v>
      </c>
    </row>
    <row r="7" spans="1:12" ht="30" customHeight="1" x14ac:dyDescent="0.25">
      <c r="A7" s="105" t="s">
        <v>382</v>
      </c>
      <c r="B7" s="141" t="s">
        <v>383</v>
      </c>
      <c r="C7" s="113" t="s">
        <v>42</v>
      </c>
      <c r="D7" s="26">
        <v>255433.25226441014</v>
      </c>
      <c r="E7" s="351">
        <v>226977.58980021879</v>
      </c>
      <c r="F7" s="611" t="s">
        <v>43</v>
      </c>
      <c r="H7" s="617" t="str">
        <f>IF(D$3="SI",IF(D7&lt;=0,"Il valore deve essere maggiore di zero",""),IF(D7&lt;&gt;"","Non risulta gestito il servizio di fognatura",""))</f>
        <v/>
      </c>
      <c r="I7" s="618" t="str">
        <f>IF(E$3="SI",IF(E7&lt;=0,"Il valore deve essere maggiore di zero",""),IF(E7&lt;&gt;"","Non risulta gestito il servizio di fognatura",""))</f>
        <v/>
      </c>
      <c r="K7" s="40">
        <f t="shared" si="0"/>
        <v>0</v>
      </c>
      <c r="L7" s="40">
        <f t="shared" si="1"/>
        <v>0</v>
      </c>
    </row>
    <row r="8" spans="1:12" ht="30" customHeight="1" x14ac:dyDescent="0.25">
      <c r="A8" s="298" t="s">
        <v>384</v>
      </c>
      <c r="B8" s="138" t="s">
        <v>385</v>
      </c>
      <c r="C8" s="233" t="s">
        <v>42</v>
      </c>
      <c r="D8" s="26"/>
      <c r="E8" s="351">
        <v>23385.633124584885</v>
      </c>
      <c r="F8" s="611" t="s">
        <v>43</v>
      </c>
      <c r="H8" s="617" t="str">
        <f>IF(D8&lt;0,"Il valore deve essere maggiore o uguale a zero","")</f>
        <v/>
      </c>
      <c r="I8" s="618" t="str">
        <f>IF(E8&lt;0,"Il valore deve essere maggiore o uguale a zero","")</f>
        <v/>
      </c>
      <c r="K8" s="40">
        <f t="shared" si="0"/>
        <v>0</v>
      </c>
      <c r="L8" s="40">
        <f t="shared" si="1"/>
        <v>0</v>
      </c>
    </row>
    <row r="9" spans="1:12" ht="30" customHeight="1" x14ac:dyDescent="0.25">
      <c r="A9" s="280" t="s">
        <v>386</v>
      </c>
      <c r="B9" s="257" t="s">
        <v>387</v>
      </c>
      <c r="C9" s="235" t="s">
        <v>48</v>
      </c>
      <c r="D9" s="26">
        <v>46</v>
      </c>
      <c r="E9" s="351">
        <v>46</v>
      </c>
      <c r="F9" s="611" t="s">
        <v>43</v>
      </c>
      <c r="H9" s="617" t="str">
        <f>IF(D$3="SI",IF(D9&lt;=0,"Il valore deve essere maggiore di zero",""),IF(D9&lt;&gt;"","Non risulta gestito il servizio di fognatura",""))</f>
        <v/>
      </c>
      <c r="I9" s="618" t="str">
        <f>IF(E$3="SI",IF(E9&lt;=0,"Il valore deve essere maggiore di zero",""),IF(E9&lt;&gt;"","Non risulta gestito il servizio di fognatura",""))</f>
        <v/>
      </c>
      <c r="K9" s="40">
        <f t="shared" si="0"/>
        <v>0</v>
      </c>
      <c r="L9" s="40">
        <f t="shared" si="1"/>
        <v>0</v>
      </c>
    </row>
    <row r="10" spans="1:12" ht="30" customHeight="1" x14ac:dyDescent="0.25">
      <c r="A10" s="280" t="s">
        <v>388</v>
      </c>
      <c r="B10" s="257" t="s">
        <v>389</v>
      </c>
      <c r="C10" s="235" t="s">
        <v>51</v>
      </c>
      <c r="D10" s="26">
        <v>2589</v>
      </c>
      <c r="E10" s="351">
        <v>2589</v>
      </c>
      <c r="F10" s="611" t="s">
        <v>43</v>
      </c>
      <c r="H10" s="617" t="str">
        <f>IF(D$3="SI",IF(D10&lt;=0,"Il valore deve essere maggiore di zero",""),IF(D10&lt;&gt;"","Non risulta gestito il servizio di fognatura",""))</f>
        <v/>
      </c>
      <c r="I10" s="618" t="str">
        <f>IF(E$3="SI",IF(E10&lt;=0,"Il valore deve essere maggiore di zero",""),IF(E10&lt;&gt;"","Non risulta gestito il servizio di fognatura",""))</f>
        <v/>
      </c>
      <c r="K10" s="40">
        <f t="shared" si="0"/>
        <v>0</v>
      </c>
      <c r="L10" s="40">
        <f t="shared" si="1"/>
        <v>0</v>
      </c>
    </row>
    <row r="11" spans="1:12" ht="32.1" customHeight="1" thickBot="1" x14ac:dyDescent="0.3">
      <c r="A11" s="271" t="s">
        <v>390</v>
      </c>
      <c r="B11" s="276" t="s">
        <v>391</v>
      </c>
      <c r="C11" s="299" t="s">
        <v>54</v>
      </c>
      <c r="D11" s="292">
        <v>861470</v>
      </c>
      <c r="E11" s="396">
        <v>893596.99999999988</v>
      </c>
      <c r="F11" s="388" t="s">
        <v>55</v>
      </c>
      <c r="G11" s="100"/>
      <c r="H11" s="211" t="str">
        <f>IF(D11&lt;0,"Il valore deve essere maggiore o uguale a zero","")</f>
        <v/>
      </c>
      <c r="I11" s="375" t="str">
        <f>IF(E11&lt;0,"Il valore deve essere maggiore o uguale a zero","")</f>
        <v/>
      </c>
      <c r="J11" s="100"/>
      <c r="K11" s="40">
        <f t="shared" si="0"/>
        <v>0</v>
      </c>
      <c r="L11" s="40">
        <f t="shared" si="1"/>
        <v>0</v>
      </c>
    </row>
    <row r="12" spans="1:12" ht="10.5" customHeight="1" x14ac:dyDescent="0.25">
      <c r="A12" s="82"/>
      <c r="B12" s="83"/>
      <c r="C12" s="84"/>
      <c r="D12" s="85"/>
      <c r="E12" s="85"/>
      <c r="F12" s="86"/>
      <c r="H12" s="87"/>
      <c r="I12" s="87"/>
      <c r="K12" s="40">
        <f t="shared" si="0"/>
        <v>0</v>
      </c>
      <c r="L12" s="40">
        <f t="shared" si="1"/>
        <v>0</v>
      </c>
    </row>
    <row r="13" spans="1:12" ht="18" thickBot="1" x14ac:dyDescent="0.3">
      <c r="A13" s="45" t="s">
        <v>392</v>
      </c>
      <c r="B13" s="83"/>
      <c r="C13" s="84"/>
      <c r="D13" s="85"/>
      <c r="E13" s="85"/>
      <c r="F13" s="86"/>
      <c r="H13" s="87"/>
      <c r="I13" s="87"/>
      <c r="K13" s="40">
        <f t="shared" si="0"/>
        <v>0</v>
      </c>
      <c r="L13" s="40">
        <f t="shared" si="1"/>
        <v>0</v>
      </c>
    </row>
    <row r="14" spans="1:12" ht="37.5" customHeight="1" x14ac:dyDescent="0.25">
      <c r="A14" s="88" t="s">
        <v>393</v>
      </c>
      <c r="B14" s="604" t="s">
        <v>394</v>
      </c>
      <c r="C14" s="48" t="s">
        <v>167</v>
      </c>
      <c r="D14" s="7">
        <v>0</v>
      </c>
      <c r="E14" s="511">
        <v>0</v>
      </c>
      <c r="F14" s="515"/>
      <c r="H14" s="212" t="str">
        <f>IF(D3="SI",IF(OR(D14&lt;0,D14=""),"Il valore deve essere maggiore o uguale a zero",""),IF(D14&lt;&gt;"","Non risulta gestito il servizio di fognatura",""))</f>
        <v/>
      </c>
      <c r="I14" s="372" t="str">
        <f>IF(E3="SI",IF(OR(E14&lt;0,E14=""),"Il valore deve essere maggiore o uguale a zero",""),IF(E14&lt;&gt;"","Non risulta gestito il servizio di fognatura",""))</f>
        <v/>
      </c>
      <c r="K14" s="40">
        <f t="shared" si="0"/>
        <v>0</v>
      </c>
      <c r="L14" s="40">
        <f t="shared" si="1"/>
        <v>0</v>
      </c>
    </row>
    <row r="15" spans="1:12" ht="45" customHeight="1" x14ac:dyDescent="0.25">
      <c r="A15" s="412" t="s">
        <v>395</v>
      </c>
      <c r="B15" s="605" t="s">
        <v>396</v>
      </c>
      <c r="C15" s="112" t="s">
        <v>397</v>
      </c>
      <c r="D15" s="117">
        <v>0</v>
      </c>
      <c r="E15" s="512">
        <v>0</v>
      </c>
      <c r="F15" s="628"/>
      <c r="H15" s="617" t="str">
        <f>IF(D3="SI",IF(OR(D15&lt;0,D15=""),"Il valore deve essere maggiore o uguale a zero",""),IF(D15&lt;&gt;"","Non risulta gestito il servizio di fognatura",""))</f>
        <v/>
      </c>
      <c r="I15" s="618" t="str">
        <f>IF(E3="SI",IF(OR(E15&lt;0,E15=""),"Il valore deve essere maggiore o uguale a zero",""),IF(E15&lt;&gt;"","Non risulta gestito il servizio di fognatura",""))</f>
        <v/>
      </c>
      <c r="K15" s="40">
        <f t="shared" si="0"/>
        <v>0</v>
      </c>
      <c r="L15" s="40">
        <f t="shared" si="1"/>
        <v>0</v>
      </c>
    </row>
    <row r="16" spans="1:12" ht="45" customHeight="1" x14ac:dyDescent="0.25">
      <c r="A16" s="107" t="s">
        <v>398</v>
      </c>
      <c r="B16" s="108" t="s">
        <v>399</v>
      </c>
      <c r="C16" s="114" t="s">
        <v>28</v>
      </c>
      <c r="D16" s="181" t="str">
        <f t="shared" ref="D16:E16" si="2">IF(D3="SI",IF(OR(D14&gt;0,D15&gt;0,AND(D14="",D15="")),"NO","SI"),"")</f>
        <v>SI</v>
      </c>
      <c r="E16" s="513" t="str">
        <f t="shared" si="2"/>
        <v>SI</v>
      </c>
      <c r="F16" s="611" t="s">
        <v>400</v>
      </c>
      <c r="H16" s="615" t="str">
        <f>IF(AND(D$3="SI",D16="NO"),"Attenzione, prerequisito mancante","")</f>
        <v/>
      </c>
      <c r="I16" s="616" t="str">
        <f>IF(AND(E$3="SI",E16="NO"),"Attenzione, prerequisito mancante","")</f>
        <v/>
      </c>
      <c r="K16" s="40">
        <f t="shared" si="0"/>
        <v>0</v>
      </c>
      <c r="L16" s="40">
        <f t="shared" si="1"/>
        <v>0</v>
      </c>
    </row>
    <row r="17" spans="1:12" ht="43.5" customHeight="1" x14ac:dyDescent="0.25">
      <c r="A17" s="107" t="s">
        <v>401</v>
      </c>
      <c r="B17" s="71" t="s">
        <v>402</v>
      </c>
      <c r="C17" s="50" t="s">
        <v>28</v>
      </c>
      <c r="D17" s="118" t="s">
        <v>82</v>
      </c>
      <c r="E17" s="514" t="s">
        <v>82</v>
      </c>
      <c r="F17" s="611" t="s">
        <v>83</v>
      </c>
      <c r="H17" s="617" t="str">
        <f>IF(AND(D$3="SI",OR(D17="Non adeguato",D17="")),"Attenzione, prerequisito mancante","")</f>
        <v/>
      </c>
      <c r="I17" s="618" t="str">
        <f>IF(AND(E$3="SI",OR(E17="Non adeguato",E17="")),"Attenzione, prerequisito mancante","")</f>
        <v/>
      </c>
      <c r="K17" s="40">
        <f t="shared" si="0"/>
        <v>0</v>
      </c>
      <c r="L17" s="40">
        <f t="shared" si="1"/>
        <v>0</v>
      </c>
    </row>
    <row r="18" spans="1:12" ht="45" customHeight="1" thickBot="1" x14ac:dyDescent="0.3">
      <c r="A18" s="110" t="s">
        <v>403</v>
      </c>
      <c r="B18" s="111" t="s">
        <v>404</v>
      </c>
      <c r="C18" s="115" t="s">
        <v>28</v>
      </c>
      <c r="D18" s="119"/>
      <c r="E18" s="629"/>
      <c r="F18" s="10" t="s">
        <v>268</v>
      </c>
      <c r="H18" s="214"/>
      <c r="I18" s="378"/>
      <c r="K18" s="40">
        <f t="shared" si="0"/>
        <v>0</v>
      </c>
      <c r="L18" s="40">
        <f t="shared" si="1"/>
        <v>0</v>
      </c>
    </row>
    <row r="19" spans="1:12" ht="10.5" customHeight="1" x14ac:dyDescent="0.25">
      <c r="F19" s="89"/>
      <c r="H19" s="90"/>
      <c r="I19" s="90"/>
      <c r="K19" s="40">
        <f t="shared" si="0"/>
        <v>0</v>
      </c>
      <c r="L19" s="40">
        <f t="shared" si="1"/>
        <v>0</v>
      </c>
    </row>
    <row r="20" spans="1:12" ht="18" thickBot="1" x14ac:dyDescent="0.3">
      <c r="A20" s="45" t="s">
        <v>405</v>
      </c>
      <c r="B20" s="83"/>
      <c r="C20" s="84"/>
      <c r="D20" s="85"/>
      <c r="E20" s="85"/>
      <c r="F20" s="86"/>
      <c r="H20" s="87"/>
      <c r="I20" s="87"/>
      <c r="K20" s="40">
        <f t="shared" si="0"/>
        <v>0</v>
      </c>
      <c r="L20" s="40">
        <f t="shared" si="1"/>
        <v>0</v>
      </c>
    </row>
    <row r="21" spans="1:12" ht="30" customHeight="1" x14ac:dyDescent="0.25">
      <c r="A21" s="81" t="s">
        <v>406</v>
      </c>
      <c r="B21" s="55" t="s">
        <v>407</v>
      </c>
      <c r="C21" s="56" t="s">
        <v>129</v>
      </c>
      <c r="D21" s="1">
        <v>1730.0985410237363</v>
      </c>
      <c r="E21" s="414">
        <v>1710.2205722257488</v>
      </c>
      <c r="F21" s="5"/>
      <c r="H21" s="212" t="str">
        <f t="shared" ref="H21:I23" si="3">IF(D21&lt;0,"Il valore deve essere maggiore o uguale a zero","")</f>
        <v/>
      </c>
      <c r="I21" s="372" t="str">
        <f t="shared" si="3"/>
        <v/>
      </c>
      <c r="K21" s="40">
        <f t="shared" si="0"/>
        <v>0</v>
      </c>
      <c r="L21" s="40">
        <f t="shared" si="1"/>
        <v>0</v>
      </c>
    </row>
    <row r="22" spans="1:12" ht="30" customHeight="1" x14ac:dyDescent="0.25">
      <c r="A22" s="231" t="s">
        <v>408</v>
      </c>
      <c r="B22" s="138" t="s">
        <v>409</v>
      </c>
      <c r="C22" s="233" t="s">
        <v>129</v>
      </c>
      <c r="D22" s="8">
        <v>253.21444534608685</v>
      </c>
      <c r="E22" s="415">
        <v>249.92164800764999</v>
      </c>
      <c r="F22" s="611" t="s">
        <v>410</v>
      </c>
      <c r="H22" s="617" t="str">
        <f t="shared" si="3"/>
        <v/>
      </c>
      <c r="I22" s="618" t="str">
        <f t="shared" si="3"/>
        <v/>
      </c>
      <c r="K22" s="40">
        <f t="shared" si="0"/>
        <v>0</v>
      </c>
      <c r="L22" s="40">
        <f t="shared" si="1"/>
        <v>0</v>
      </c>
    </row>
    <row r="23" spans="1:12" ht="30" customHeight="1" x14ac:dyDescent="0.25">
      <c r="A23" s="231" t="s">
        <v>411</v>
      </c>
      <c r="B23" s="138" t="s">
        <v>412</v>
      </c>
      <c r="C23" s="233" t="s">
        <v>129</v>
      </c>
      <c r="D23" s="8">
        <v>198.42467364201829</v>
      </c>
      <c r="E23" s="415">
        <v>199.60917623349999</v>
      </c>
      <c r="F23" s="611"/>
      <c r="H23" s="617" t="str">
        <f t="shared" si="3"/>
        <v/>
      </c>
      <c r="I23" s="618" t="str">
        <f t="shared" si="3"/>
        <v/>
      </c>
      <c r="K23" s="40">
        <f t="shared" si="0"/>
        <v>0</v>
      </c>
      <c r="L23" s="40">
        <f t="shared" si="1"/>
        <v>0</v>
      </c>
    </row>
    <row r="24" spans="1:12" ht="30" customHeight="1" x14ac:dyDescent="0.25">
      <c r="A24" s="231" t="s">
        <v>413</v>
      </c>
      <c r="B24" s="138" t="s">
        <v>414</v>
      </c>
      <c r="C24" s="233" t="s">
        <v>129</v>
      </c>
      <c r="D24" s="170">
        <f t="shared" ref="D24:E24" si="4">D21+D22+D23</f>
        <v>2181.7376600118414</v>
      </c>
      <c r="E24" s="498">
        <f t="shared" si="4"/>
        <v>2159.7513964668988</v>
      </c>
      <c r="F24" s="611"/>
      <c r="H24" s="617" t="str">
        <f>IF(AND(D3="SI",D24&lt;=0),"La lunghezza della rete fognaria principale deve essere maggiore di zero","")</f>
        <v/>
      </c>
      <c r="I24" s="618" t="str">
        <f>IF(AND(E3="SI",E24&lt;=0),"La lunghezza della rete fognaria principale deve essere maggiore di zero","")</f>
        <v/>
      </c>
      <c r="K24" s="40">
        <f t="shared" si="0"/>
        <v>0</v>
      </c>
      <c r="L24" s="40">
        <f t="shared" si="1"/>
        <v>0</v>
      </c>
    </row>
    <row r="25" spans="1:12" ht="39.75" customHeight="1" x14ac:dyDescent="0.25">
      <c r="A25" s="298" t="s">
        <v>415</v>
      </c>
      <c r="B25" s="138" t="s">
        <v>416</v>
      </c>
      <c r="C25" s="233" t="s">
        <v>167</v>
      </c>
      <c r="D25" s="8">
        <v>29</v>
      </c>
      <c r="E25" s="415">
        <v>26</v>
      </c>
      <c r="F25" s="611"/>
      <c r="H25" s="617" t="str">
        <f t="shared" ref="H25:I27" si="5">IF(D25&lt;0,"Il valore deve essere maggiore o uguale a zero","")</f>
        <v/>
      </c>
      <c r="I25" s="618" t="str">
        <f t="shared" si="5"/>
        <v/>
      </c>
      <c r="K25" s="40">
        <f t="shared" si="0"/>
        <v>0</v>
      </c>
      <c r="L25" s="40">
        <f t="shared" si="1"/>
        <v>0</v>
      </c>
    </row>
    <row r="26" spans="1:12" ht="39.75" customHeight="1" x14ac:dyDescent="0.25">
      <c r="A26" s="298" t="s">
        <v>417</v>
      </c>
      <c r="B26" s="138" t="s">
        <v>418</v>
      </c>
      <c r="C26" s="233" t="s">
        <v>167</v>
      </c>
      <c r="D26" s="8">
        <v>1</v>
      </c>
      <c r="E26" s="415">
        <v>2</v>
      </c>
      <c r="F26" s="611"/>
      <c r="H26" s="617" t="str">
        <f t="shared" si="5"/>
        <v/>
      </c>
      <c r="I26" s="618" t="str">
        <f t="shared" si="5"/>
        <v/>
      </c>
      <c r="K26" s="40">
        <f t="shared" si="0"/>
        <v>0</v>
      </c>
      <c r="L26" s="40">
        <f t="shared" si="1"/>
        <v>0</v>
      </c>
    </row>
    <row r="27" spans="1:12" ht="30" customHeight="1" x14ac:dyDescent="0.25">
      <c r="A27" s="298" t="s">
        <v>419</v>
      </c>
      <c r="B27" s="138" t="s">
        <v>420</v>
      </c>
      <c r="C27" s="233" t="s">
        <v>167</v>
      </c>
      <c r="D27" s="8">
        <v>0</v>
      </c>
      <c r="E27" s="415">
        <v>3</v>
      </c>
      <c r="F27" s="611"/>
      <c r="H27" s="617" t="str">
        <f t="shared" si="5"/>
        <v/>
      </c>
      <c r="I27" s="618" t="str">
        <f t="shared" si="5"/>
        <v/>
      </c>
      <c r="K27" s="40">
        <f t="shared" si="0"/>
        <v>0</v>
      </c>
      <c r="L27" s="40">
        <f t="shared" si="1"/>
        <v>0</v>
      </c>
    </row>
    <row r="28" spans="1:12" ht="30" customHeight="1" x14ac:dyDescent="0.25">
      <c r="A28" s="240" t="s">
        <v>421</v>
      </c>
      <c r="B28" s="142" t="s">
        <v>422</v>
      </c>
      <c r="C28" s="232" t="s">
        <v>423</v>
      </c>
      <c r="D28" s="416">
        <f t="shared" ref="D28:E28" si="6">IF(AND(D24&gt;0,OR(D25&lt;&gt;"",D26&lt;&gt;"",D27&lt;&gt;""),D25&gt;=0,D26&gt;=0,D27&gt;=0,D21&gt;=0,D22&gt;=0,D23&gt;=0),(D25+D26+D27)/(D21+D22+D23)*100,"")</f>
        <v>1.3750507473862452</v>
      </c>
      <c r="E28" s="417">
        <f t="shared" si="6"/>
        <v>1.4353503857301533</v>
      </c>
      <c r="F28" s="611" t="s">
        <v>424</v>
      </c>
      <c r="H28" s="617" t="str">
        <f>IF(AND(D3="SI",D28=""),"Indicatore non calcolabile","")</f>
        <v/>
      </c>
      <c r="I28" s="618" t="str">
        <f>IF(AND(E3="SI",E28=""),"Indicatore non calcolabile","")</f>
        <v/>
      </c>
      <c r="K28" s="40">
        <f t="shared" si="0"/>
        <v>0</v>
      </c>
      <c r="L28" s="40">
        <f t="shared" si="1"/>
        <v>0</v>
      </c>
    </row>
    <row r="29" spans="1:12" ht="30" customHeight="1" x14ac:dyDescent="0.25">
      <c r="A29" s="231" t="s">
        <v>425</v>
      </c>
      <c r="B29" s="138" t="s">
        <v>426</v>
      </c>
      <c r="C29" s="233" t="s">
        <v>167</v>
      </c>
      <c r="D29" s="8">
        <v>456</v>
      </c>
      <c r="E29" s="415">
        <v>456</v>
      </c>
      <c r="F29" s="611"/>
      <c r="H29" s="617" t="str">
        <f>IF(AND(D21&gt;0,D29=""),"Attenzione, il valore dovrebbe essere maggiore di zero",IF(D29&lt;0,"Il valore deve essere maggiore o uguale a zero",""))</f>
        <v/>
      </c>
      <c r="I29" s="618" t="str">
        <f>IF(AND(E21&gt;0,E29=""),"Attenzione, il valore dovrebbe essere maggiore di zero",IF(E29&lt;0,"Il valore deve essere maggiore o uguale a zero",""))</f>
        <v/>
      </c>
      <c r="K29" s="40">
        <f t="shared" si="0"/>
        <v>0</v>
      </c>
      <c r="L29" s="40">
        <f t="shared" si="1"/>
        <v>0</v>
      </c>
    </row>
    <row r="30" spans="1:12" ht="30" customHeight="1" x14ac:dyDescent="0.25">
      <c r="A30" s="298" t="s">
        <v>427</v>
      </c>
      <c r="B30" s="138" t="s">
        <v>428</v>
      </c>
      <c r="C30" s="233" t="s">
        <v>167</v>
      </c>
      <c r="D30" s="8">
        <v>456</v>
      </c>
      <c r="E30" s="415">
        <v>456</v>
      </c>
      <c r="F30" s="611"/>
      <c r="H30" s="617" t="str">
        <f>IF(OR(D30&lt;0,D30&gt;D29),"Il valore deve essere maggiore o uguale a zero e minore o uguale a Nscar_tot","")</f>
        <v/>
      </c>
      <c r="I30" s="618" t="str">
        <f>IF(OR(E30&lt;0,E30&gt;E29),"Il valore deve essere maggiore o uguale a zero e minore o uguale a Nscar_tot","")</f>
        <v/>
      </c>
      <c r="K30" s="40">
        <f t="shared" si="0"/>
        <v>0</v>
      </c>
      <c r="L30" s="40">
        <f t="shared" si="1"/>
        <v>0</v>
      </c>
    </row>
    <row r="31" spans="1:12" ht="32.1" customHeight="1" x14ac:dyDescent="0.25">
      <c r="A31" s="231" t="s">
        <v>429</v>
      </c>
      <c r="B31" s="138" t="s">
        <v>430</v>
      </c>
      <c r="C31" s="233"/>
      <c r="D31" s="8">
        <v>0</v>
      </c>
      <c r="E31" s="638">
        <v>0</v>
      </c>
      <c r="F31" s="611"/>
      <c r="H31" s="617" t="str">
        <f>IF(D31&lt;0,"Il valore deve essere maggiore o uguale a zero","")</f>
        <v/>
      </c>
      <c r="I31" s="618" t="str">
        <f>IF(E31&lt;0,"Il valore deve essere maggiore o uguale a zero","")</f>
        <v/>
      </c>
      <c r="K31" s="40">
        <f t="shared" si="0"/>
        <v>0</v>
      </c>
      <c r="L31" s="40">
        <f t="shared" si="1"/>
        <v>0</v>
      </c>
    </row>
    <row r="32" spans="1:12" ht="30" customHeight="1" x14ac:dyDescent="0.25">
      <c r="A32" s="246" t="s">
        <v>431</v>
      </c>
      <c r="B32" s="153" t="s">
        <v>432</v>
      </c>
      <c r="C32" s="232" t="s">
        <v>68</v>
      </c>
      <c r="D32" s="171">
        <f t="shared" ref="D32:E32" si="7">IF(D29="","",IF(D29&lt;=0,"",IF(AND(D29&gt;0,D29&gt;=D30,D30&gt;=0),(D29-D30)/D29,"")))</f>
        <v>0</v>
      </c>
      <c r="E32" s="418">
        <f t="shared" si="7"/>
        <v>0</v>
      </c>
      <c r="F32" s="611" t="s">
        <v>433</v>
      </c>
      <c r="H32" s="617" t="str">
        <f>IF(AND(D3="SI",D32=""),"Indicatore non calcolabile","")</f>
        <v/>
      </c>
      <c r="I32" s="618" t="str">
        <f>IF(AND(E3="SI",E32=""),"Indicatore non calcolabile","")</f>
        <v/>
      </c>
      <c r="K32" s="40">
        <f t="shared" si="0"/>
        <v>0</v>
      </c>
      <c r="L32" s="40">
        <f t="shared" si="1"/>
        <v>0</v>
      </c>
    </row>
    <row r="33" spans="1:12" ht="41.25" customHeight="1" x14ac:dyDescent="0.25">
      <c r="A33" s="298" t="s">
        <v>434</v>
      </c>
      <c r="B33" s="138" t="s">
        <v>435</v>
      </c>
      <c r="C33" s="233" t="s">
        <v>167</v>
      </c>
      <c r="D33" s="8">
        <v>353</v>
      </c>
      <c r="E33" s="415">
        <v>170</v>
      </c>
      <c r="F33" s="611" t="s">
        <v>436</v>
      </c>
      <c r="H33" s="617" t="str">
        <f>IF(OR(D33&lt;0,D33&gt;D29),"Il valore deve essere maggiore o uguale a zero e minore o uguale a Nscar_tot","")</f>
        <v/>
      </c>
      <c r="I33" s="618" t="str">
        <f>IF(OR(E33&lt;0,E33&gt;E29),"Il valore deve essere maggiore o uguale a zero e minore o uguale a Nscar_tot","")</f>
        <v/>
      </c>
      <c r="K33" s="40">
        <f t="shared" si="0"/>
        <v>0</v>
      </c>
      <c r="L33" s="40">
        <f t="shared" si="1"/>
        <v>0</v>
      </c>
    </row>
    <row r="34" spans="1:12" ht="30" customHeight="1" x14ac:dyDescent="0.25">
      <c r="A34" s="231" t="s">
        <v>437</v>
      </c>
      <c r="B34" s="138" t="s">
        <v>438</v>
      </c>
      <c r="C34" s="233" t="s">
        <v>167</v>
      </c>
      <c r="D34" s="8">
        <v>353</v>
      </c>
      <c r="E34" s="415">
        <v>170</v>
      </c>
      <c r="F34" s="611" t="s">
        <v>439</v>
      </c>
      <c r="H34" s="617" t="str">
        <f>IF(OR(D34&lt;0,D34&gt;D33),"Il valore deve essere maggiore o uguale a zero e minore o uguale a Nscar_ctrl","")</f>
        <v/>
      </c>
      <c r="I34" s="618" t="str">
        <f>IF(OR(E34&lt;0,E34&gt;E33),"Il valore deve essere maggiore o uguale a zero e minore o uguale a Nscar_ctrl","")</f>
        <v/>
      </c>
      <c r="K34" s="40">
        <f t="shared" si="0"/>
        <v>0</v>
      </c>
      <c r="L34" s="40">
        <f t="shared" si="1"/>
        <v>0</v>
      </c>
    </row>
    <row r="35" spans="1:12" ht="32.1" customHeight="1" x14ac:dyDescent="0.25">
      <c r="A35" s="231" t="s">
        <v>440</v>
      </c>
      <c r="B35" s="154" t="s">
        <v>441</v>
      </c>
      <c r="C35" s="233" t="s">
        <v>167</v>
      </c>
      <c r="D35" s="8">
        <v>0</v>
      </c>
      <c r="E35" s="415">
        <v>0</v>
      </c>
      <c r="F35" s="611"/>
      <c r="H35" s="617" t="str">
        <f>IF(OR(D35&lt;0,D35&gt;D33),"Il valore deve essere maggiore o uguale a zero e minore o uguale a Nscar_ctrl","")</f>
        <v/>
      </c>
      <c r="I35" s="618" t="str">
        <f>IF(OR(E35&lt;0,E35&gt;E33),"Il valore deve essere maggiore o uguale a zero e minore o uguale a Nscar_ctrl","")</f>
        <v/>
      </c>
      <c r="K35" s="40">
        <f t="shared" si="0"/>
        <v>0</v>
      </c>
      <c r="L35" s="40">
        <f t="shared" si="1"/>
        <v>0</v>
      </c>
    </row>
    <row r="36" spans="1:12" ht="30" customHeight="1" x14ac:dyDescent="0.25">
      <c r="A36" s="246" t="s">
        <v>442</v>
      </c>
      <c r="B36" s="153" t="s">
        <v>443</v>
      </c>
      <c r="C36" s="232" t="s">
        <v>68</v>
      </c>
      <c r="D36" s="171">
        <f t="shared" ref="D36:E36" si="8">IF(OR(D29&lt;=0,D29=""),"",IF(AND(D29&gt;0,D29&gt;=D33,D33&gt;=0),(D29-D33)/D29,1))</f>
        <v>0.22587719298245615</v>
      </c>
      <c r="E36" s="418">
        <f t="shared" si="8"/>
        <v>0.6271929824561403</v>
      </c>
      <c r="F36" s="611" t="s">
        <v>444</v>
      </c>
      <c r="H36" s="617" t="str">
        <f>IF(AND(D3="SI",D36=""),"Indicatore non calcolabile","")</f>
        <v/>
      </c>
      <c r="I36" s="618" t="str">
        <f>IF(AND(E3="SI",E36=""),"Indicatore non calcolabile","")</f>
        <v/>
      </c>
      <c r="K36" s="40">
        <f t="shared" si="0"/>
        <v>0</v>
      </c>
      <c r="L36" s="40">
        <f t="shared" si="1"/>
        <v>0</v>
      </c>
    </row>
    <row r="37" spans="1:12" ht="30" customHeight="1" x14ac:dyDescent="0.25">
      <c r="A37" s="246" t="s">
        <v>445</v>
      </c>
      <c r="B37" s="142" t="s">
        <v>446</v>
      </c>
      <c r="C37" s="232" t="s">
        <v>28</v>
      </c>
      <c r="D37" s="184" t="str">
        <f t="shared" ref="D37:E37" si="9">IF(D28="","",IF(AND(D28="",D32="",D36=""),"",IF(D28&gt;=1,"E",IF(AND(D28&lt;1,D32="",D36=""),"A",IF(D32&gt;0.2,"D",IF(AND(D32&gt;0,D32&lt;=0.2),"C",IF(D36&gt;0.1,"B","A")))))))</f>
        <v>E</v>
      </c>
      <c r="E37" s="419" t="str">
        <f t="shared" si="9"/>
        <v>E</v>
      </c>
      <c r="F37" s="623"/>
      <c r="H37" s="213"/>
      <c r="I37" s="382"/>
      <c r="K37" s="40">
        <f t="shared" si="0"/>
        <v>0</v>
      </c>
      <c r="L37" s="40">
        <f t="shared" si="1"/>
        <v>0</v>
      </c>
    </row>
    <row r="38" spans="1:12" ht="30" customHeight="1" x14ac:dyDescent="0.25">
      <c r="A38" s="246" t="s">
        <v>447</v>
      </c>
      <c r="B38" s="142" t="s">
        <v>448</v>
      </c>
      <c r="C38" s="232" t="s">
        <v>28</v>
      </c>
      <c r="D38" s="173" t="str">
        <f t="shared" ref="D38:E38" si="10">IF(D37="E","-10% di M4a",IF(D37="D","-10% di M4b",IF(D37="C","-7% di M4b",IF(D37="B","-5% di M4c",IF(D37="A","Mantenimento","")))))</f>
        <v>-10% di M4a</v>
      </c>
      <c r="E38" s="621" t="str">
        <f t="shared" si="10"/>
        <v>-10% di M4a</v>
      </c>
      <c r="F38" s="623"/>
      <c r="H38" s="213"/>
      <c r="I38" s="382"/>
      <c r="K38" s="40">
        <f t="shared" si="0"/>
        <v>0</v>
      </c>
      <c r="L38" s="40">
        <f t="shared" si="1"/>
        <v>0</v>
      </c>
    </row>
    <row r="39" spans="1:12" ht="30" customHeight="1" x14ac:dyDescent="0.25">
      <c r="A39" s="231" t="s">
        <v>449</v>
      </c>
      <c r="B39" s="138" t="s">
        <v>450</v>
      </c>
      <c r="C39" s="233" t="s">
        <v>167</v>
      </c>
      <c r="D39" s="8">
        <v>248</v>
      </c>
      <c r="E39" s="415">
        <v>244</v>
      </c>
      <c r="F39" s="611" t="s">
        <v>451</v>
      </c>
      <c r="H39" s="617" t="str">
        <f>IF(AND(D3="SI",OR(D39&lt;0,D39="")),"Il valore deve essere maggiore o uguale a zero","")</f>
        <v/>
      </c>
      <c r="I39" s="618" t="str">
        <f>IF(AND(E3="SI",OR(E39&lt;0,E39="")),"Il valore deve essere maggiore o uguale a zero","")</f>
        <v/>
      </c>
      <c r="K39" s="40">
        <f t="shared" si="0"/>
        <v>0</v>
      </c>
      <c r="L39" s="40">
        <f t="shared" si="1"/>
        <v>0</v>
      </c>
    </row>
    <row r="40" spans="1:12" ht="32.1" customHeight="1" x14ac:dyDescent="0.25">
      <c r="A40" s="231" t="s">
        <v>452</v>
      </c>
      <c r="B40" s="138" t="s">
        <v>453</v>
      </c>
      <c r="C40" s="233" t="s">
        <v>129</v>
      </c>
      <c r="D40" s="9">
        <v>7.74</v>
      </c>
      <c r="E40" s="420">
        <v>9.34</v>
      </c>
      <c r="F40" s="611"/>
      <c r="H40" s="617" t="str">
        <f>IF(OR(D40&lt;0,D40&gt;D21),"Il valore deve essere maggiore o uguale a zero e minore o uguale a Lm","")</f>
        <v/>
      </c>
      <c r="I40" s="618" t="str">
        <f>IF(OR(E40&lt;0,E40&gt;E21),"Il valore deve essere maggiore o uguale a zero e minore o uguale a Lm","")</f>
        <v/>
      </c>
      <c r="K40" s="40">
        <f t="shared" si="0"/>
        <v>0</v>
      </c>
      <c r="L40" s="40">
        <f t="shared" si="1"/>
        <v>0</v>
      </c>
    </row>
    <row r="41" spans="1:12" ht="25.35" customHeight="1" x14ac:dyDescent="0.25">
      <c r="A41" s="231" t="s">
        <v>454</v>
      </c>
      <c r="B41" s="155" t="s">
        <v>455</v>
      </c>
      <c r="C41" s="233" t="s">
        <v>129</v>
      </c>
      <c r="D41" s="9">
        <v>7.69</v>
      </c>
      <c r="E41" s="420">
        <v>6.67</v>
      </c>
      <c r="F41" s="611"/>
      <c r="H41" s="617" t="str">
        <f>IF(OR(D41&lt;0,D41&gt;D40),"Il valore deve essere maggiore o uguale a zero e minore o uguale a L_m-isp","")</f>
        <v/>
      </c>
      <c r="I41" s="618" t="str">
        <f>IF(OR(E41&lt;0,E41&gt;E40),"Il valore deve essere maggiore o uguale a zero e minore o uguale a L_m-isp","")</f>
        <v/>
      </c>
      <c r="K41" s="40">
        <f t="shared" si="0"/>
        <v>0</v>
      </c>
      <c r="L41" s="40">
        <f t="shared" si="1"/>
        <v>0</v>
      </c>
    </row>
    <row r="42" spans="1:12" s="44" customFormat="1" ht="32.1" customHeight="1" x14ac:dyDescent="0.25">
      <c r="A42" s="231" t="s">
        <v>456</v>
      </c>
      <c r="B42" s="138" t="s">
        <v>457</v>
      </c>
      <c r="C42" s="233" t="s">
        <v>129</v>
      </c>
      <c r="D42" s="9">
        <v>0</v>
      </c>
      <c r="E42" s="420">
        <v>0</v>
      </c>
      <c r="F42" s="611"/>
      <c r="G42"/>
      <c r="H42" s="617" t="str">
        <f>IF(OR(D42&lt;0,D42&gt;D22),"Il valore deve essere maggiore o uguale a zero e minore o uguale a Lb","")</f>
        <v/>
      </c>
      <c r="I42" s="618" t="str">
        <f>IF(OR(E42&lt;0,E42&gt;E22),"Il valore deve essere maggiore o uguale a zero e minore o uguale a Lb","")</f>
        <v/>
      </c>
      <c r="J42"/>
      <c r="K42" s="40">
        <f t="shared" si="0"/>
        <v>0</v>
      </c>
      <c r="L42" s="40">
        <f t="shared" si="1"/>
        <v>0</v>
      </c>
    </row>
    <row r="43" spans="1:12" ht="25.35" customHeight="1" x14ac:dyDescent="0.25">
      <c r="A43" s="231" t="s">
        <v>458</v>
      </c>
      <c r="B43" s="155" t="s">
        <v>455</v>
      </c>
      <c r="C43" s="233" t="s">
        <v>129</v>
      </c>
      <c r="D43" s="9">
        <v>0</v>
      </c>
      <c r="E43" s="420">
        <v>0</v>
      </c>
      <c r="F43" s="611"/>
      <c r="H43" s="617" t="str">
        <f>IF(OR(D43&lt;0,D43&gt;D42),"Il valore deve essere maggiore o uguale a zero e minore o uguale a L_b-isp","")</f>
        <v/>
      </c>
      <c r="I43" s="618" t="str">
        <f>IF(OR(E43&lt;0,E43&gt;E42),"Il valore deve essere maggiore o uguale a zero e minore o uguale a L_b-isp","")</f>
        <v/>
      </c>
      <c r="K43" s="40">
        <f t="shared" si="0"/>
        <v>0</v>
      </c>
      <c r="L43" s="40">
        <f t="shared" si="1"/>
        <v>0</v>
      </c>
    </row>
    <row r="44" spans="1:12" s="44" customFormat="1" ht="32.1" customHeight="1" x14ac:dyDescent="0.25">
      <c r="A44" s="231" t="s">
        <v>459</v>
      </c>
      <c r="B44" s="138" t="s">
        <v>460</v>
      </c>
      <c r="C44" s="233" t="s">
        <v>129</v>
      </c>
      <c r="D44" s="9">
        <v>0</v>
      </c>
      <c r="E44" s="420">
        <v>0</v>
      </c>
      <c r="F44" s="611"/>
      <c r="G44"/>
      <c r="H44" s="617" t="str">
        <f>IF(OR(D44&lt;0,D44&gt;D23),"Il valore deve essere maggiore o uguale a zero e minore o uguale a Ln","")</f>
        <v/>
      </c>
      <c r="I44" s="618" t="str">
        <f>IF(OR(E44&lt;0,E44&gt;E23),"Il valore deve essere maggiore o uguale a zero e minore o uguale a Ln","")</f>
        <v/>
      </c>
      <c r="J44"/>
      <c r="K44" s="40">
        <f t="shared" si="0"/>
        <v>0</v>
      </c>
      <c r="L44" s="40">
        <f t="shared" si="1"/>
        <v>0</v>
      </c>
    </row>
    <row r="45" spans="1:12" ht="25.35" customHeight="1" x14ac:dyDescent="0.25">
      <c r="A45" s="231" t="s">
        <v>461</v>
      </c>
      <c r="B45" s="155" t="s">
        <v>455</v>
      </c>
      <c r="C45" s="233" t="s">
        <v>129</v>
      </c>
      <c r="D45" s="9">
        <v>0</v>
      </c>
      <c r="E45" s="420">
        <v>0</v>
      </c>
      <c r="F45" s="611"/>
      <c r="H45" s="617" t="str">
        <f>IF(OR(D45&lt;0,D45&gt;D44),"Il valore deve essere maggiore o uguale a zero e minore o uguale a L_n-isp","")</f>
        <v/>
      </c>
      <c r="I45" s="618" t="str">
        <f>IF(OR(E45&lt;0,E45&gt;E44),"Il valore deve essere maggiore o uguale a zero e minore o uguale a L_n-isp","")</f>
        <v/>
      </c>
      <c r="K45" s="40">
        <f t="shared" si="0"/>
        <v>0</v>
      </c>
      <c r="L45" s="40">
        <f t="shared" si="1"/>
        <v>0</v>
      </c>
    </row>
    <row r="46" spans="1:12" s="44" customFormat="1" ht="32.1" customHeight="1" x14ac:dyDescent="0.25">
      <c r="A46" s="413" t="s">
        <v>462</v>
      </c>
      <c r="B46" s="156" t="s">
        <v>463</v>
      </c>
      <c r="C46" s="66" t="s">
        <v>129</v>
      </c>
      <c r="D46" s="421">
        <f t="shared" ref="D46:E46" si="11">D40+D42+D44</f>
        <v>7.74</v>
      </c>
      <c r="E46" s="422">
        <f t="shared" si="11"/>
        <v>9.34</v>
      </c>
      <c r="F46" s="623"/>
      <c r="G46"/>
      <c r="H46" s="213"/>
      <c r="I46" s="382"/>
      <c r="J46"/>
      <c r="K46" s="40">
        <f t="shared" si="0"/>
        <v>0</v>
      </c>
      <c r="L46" s="40">
        <f t="shared" si="1"/>
        <v>0</v>
      </c>
    </row>
    <row r="47" spans="1:12" s="44" customFormat="1" ht="30" customHeight="1" thickBot="1" x14ac:dyDescent="0.3">
      <c r="A47" s="249" t="s">
        <v>464</v>
      </c>
      <c r="B47" s="254" t="s">
        <v>465</v>
      </c>
      <c r="C47" s="255" t="s">
        <v>423</v>
      </c>
      <c r="D47" s="423">
        <f t="shared" ref="D47:E47" si="12">IF(AND(D46&gt;0,D39&gt;=0,D39&lt;&gt;""),(D39/D46)*100,"")</f>
        <v>3204.1343669250646</v>
      </c>
      <c r="E47" s="424">
        <f t="shared" si="12"/>
        <v>2612.4197002141327</v>
      </c>
      <c r="F47" s="10" t="s">
        <v>466</v>
      </c>
      <c r="G47"/>
      <c r="H47" s="214"/>
      <c r="I47" s="378"/>
      <c r="J47"/>
      <c r="K47" s="40">
        <f t="shared" si="0"/>
        <v>0</v>
      </c>
      <c r="L47" s="40">
        <f t="shared" si="1"/>
        <v>0</v>
      </c>
    </row>
    <row r="50" spans="2:2" hidden="1" x14ac:dyDescent="0.25">
      <c r="B50" s="277" t="s">
        <v>82</v>
      </c>
    </row>
    <row r="51" spans="2:2" hidden="1" x14ac:dyDescent="0.25">
      <c r="B51" s="76" t="s">
        <v>371</v>
      </c>
    </row>
    <row r="52" spans="2:2" hidden="1" x14ac:dyDescent="0.25">
      <c r="B52" s="277"/>
    </row>
    <row r="53" spans="2:2" hidden="1" x14ac:dyDescent="0.25">
      <c r="B53" s="76" t="s">
        <v>33</v>
      </c>
    </row>
    <row r="54" spans="2:2" hidden="1" x14ac:dyDescent="0.25">
      <c r="B54" s="278" t="s">
        <v>29</v>
      </c>
    </row>
    <row r="55" spans="2:2" hidden="1" x14ac:dyDescent="0.25">
      <c r="B55" s="77" t="s">
        <v>372</v>
      </c>
    </row>
    <row r="194" spans="2:2" x14ac:dyDescent="0.25">
      <c r="B194" s="101"/>
    </row>
  </sheetData>
  <conditionalFormatting sqref="K2:L2">
    <cfRule type="cellIs" dxfId="17" priority="1" operator="lessThanOrEqual">
      <formula>0</formula>
    </cfRule>
    <cfRule type="cellIs" dxfId="16" priority="2" operator="greaterThan">
      <formula>0</formula>
    </cfRule>
  </conditionalFormatting>
  <dataValidations count="4">
    <dataValidation type="list" allowBlank="1" showInputMessage="1" showErrorMessage="1" sqref="D18:E18" xr:uid="{00000000-0002-0000-0200-000000000000}">
      <formula1>$B$52:$B$53</formula1>
    </dataValidation>
    <dataValidation type="list" showInputMessage="1" showErrorMessage="1" sqref="D17:E17" xr:uid="{00000000-0002-0000-0200-000001000000}">
      <formula1>$B$50:$B$51</formula1>
    </dataValidation>
    <dataValidation type="list" allowBlank="1" showInputMessage="1" showErrorMessage="1" sqref="D3:E3" xr:uid="{00000000-0002-0000-0200-000002000000}">
      <formula1>$B$54:$B$55</formula1>
    </dataValidation>
    <dataValidation type="list" showInputMessage="1" showErrorMessage="1" sqref="D4:E6" xr:uid="{00000000-0002-0000-0200-000003000000}">
      <formula1>$B$53</formula1>
    </dataValidation>
  </dataValidations>
  <pageMargins left="0.23622047244094491" right="0.23622047244094491" top="0.43307086614173229" bottom="0.47244094488188981" header="0.31496062992125984" footer="0.31496062992125984"/>
  <pageSetup paperSize="8" scale="41" fitToHeight="0" orientation="landscape" r:id="rId1"/>
  <ignoredErrors>
    <ignoredError sqref="H8 H24 I8 I24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63">
    <tabColor theme="4" tint="0.39997558519241921"/>
    <pageSetUpPr fitToPage="1"/>
  </sheetPr>
  <dimension ref="A1:L179"/>
  <sheetViews>
    <sheetView showGridLines="0" zoomScale="80" zoomScaleNormal="80" workbookViewId="0">
      <pane xSplit="3" ySplit="2" topLeftCell="D11" activePane="bottomRight" state="frozen"/>
      <selection pane="topRight" activeCell="B4" sqref="B4"/>
      <selection pane="bottomLeft" activeCell="B4" sqref="B4"/>
      <selection pane="bottomRight" activeCell="E18" sqref="E18"/>
    </sheetView>
  </sheetViews>
  <sheetFormatPr defaultColWidth="8.85546875" defaultRowHeight="15" x14ac:dyDescent="0.25"/>
  <cols>
    <col min="1" max="1" width="12.85546875" customWidth="1"/>
    <col min="2" max="2" width="50.85546875" customWidth="1"/>
    <col min="3" max="3" width="9.85546875" customWidth="1"/>
    <col min="4" max="5" width="14.85546875" customWidth="1"/>
    <col min="6" max="6" width="50.85546875" customWidth="1"/>
    <col min="7" max="7" width="2.85546875" customWidth="1"/>
    <col min="8" max="9" width="25.85546875" customWidth="1"/>
    <col min="10" max="10" width="2.85546875" customWidth="1"/>
    <col min="11" max="12" width="20.85546875" style="53" customWidth="1"/>
  </cols>
  <sheetData>
    <row r="1" spans="1:12" ht="69.95" customHeight="1" thickBot="1" x14ac:dyDescent="0.3">
      <c r="A1" s="41"/>
      <c r="B1" s="29" t="s">
        <v>15</v>
      </c>
      <c r="C1" s="28"/>
      <c r="D1" s="30"/>
      <c r="E1" s="30"/>
      <c r="F1" s="31"/>
      <c r="G1" s="28"/>
      <c r="J1" s="28"/>
      <c r="K1" s="229" t="s">
        <v>16</v>
      </c>
      <c r="L1" s="379" t="s">
        <v>17</v>
      </c>
    </row>
    <row r="2" spans="1:12" ht="70.349999999999994" customHeight="1" thickBot="1" x14ac:dyDescent="0.3">
      <c r="A2" s="32" t="s">
        <v>18</v>
      </c>
      <c r="B2" s="33" t="s">
        <v>19</v>
      </c>
      <c r="C2" s="343" t="s">
        <v>20</v>
      </c>
      <c r="D2" s="306" t="s">
        <v>21</v>
      </c>
      <c r="E2" s="403" t="s">
        <v>22</v>
      </c>
      <c r="F2" s="344" t="s">
        <v>23</v>
      </c>
      <c r="G2" s="28"/>
      <c r="H2" s="209" t="s">
        <v>24</v>
      </c>
      <c r="I2" s="381" t="s">
        <v>25</v>
      </c>
      <c r="J2" s="28"/>
      <c r="K2" s="230">
        <f>SUM(K3:K88)</f>
        <v>0</v>
      </c>
      <c r="L2" s="380">
        <f>SUM(L3:L88)</f>
        <v>0</v>
      </c>
    </row>
    <row r="3" spans="1:12" ht="30" customHeight="1" x14ac:dyDescent="0.25">
      <c r="A3" s="81" t="s">
        <v>467</v>
      </c>
      <c r="B3" s="55" t="s">
        <v>468</v>
      </c>
      <c r="C3" s="425" t="s">
        <v>28</v>
      </c>
      <c r="D3" s="4" t="s">
        <v>29</v>
      </c>
      <c r="E3" s="406" t="s">
        <v>29</v>
      </c>
      <c r="F3" s="355" t="s">
        <v>30</v>
      </c>
      <c r="G3" s="124"/>
      <c r="H3" s="223"/>
      <c r="I3" s="428"/>
      <c r="J3" s="124"/>
      <c r="K3" s="40">
        <f t="shared" ref="K3:K32" si="0">IF(H3="",0,1)</f>
        <v>0</v>
      </c>
      <c r="L3" s="40">
        <f t="shared" ref="L3:L32" si="1">IF(I3="",0,1)</f>
        <v>0</v>
      </c>
    </row>
    <row r="4" spans="1:12" ht="30" customHeight="1" x14ac:dyDescent="0.25">
      <c r="A4" s="289" t="s">
        <v>469</v>
      </c>
      <c r="B4" s="160" t="s">
        <v>470</v>
      </c>
      <c r="C4" s="235" t="s">
        <v>42</v>
      </c>
      <c r="D4" s="26">
        <v>239369.54886277721</v>
      </c>
      <c r="E4" s="351">
        <v>213693</v>
      </c>
      <c r="F4" s="611" t="s">
        <v>43</v>
      </c>
      <c r="G4" s="124"/>
      <c r="H4" s="617" t="str">
        <f>IF(D$3="SI",IF(D4&lt;=0,"Il valore deve essere maggiore di zero",""),IF(D4&lt;&gt;"","Non risulta gestito il servizio di depurazione",""))</f>
        <v/>
      </c>
      <c r="I4" s="618" t="str">
        <f>IF(E$3="SI",IF(E4&lt;=0,"Il valore deve essere maggiore di zero",""),IF(E4&lt;&gt;"","Non risulta gestito il servizio di depurazione",""))</f>
        <v/>
      </c>
      <c r="J4" s="124"/>
      <c r="K4" s="40">
        <f t="shared" si="0"/>
        <v>0</v>
      </c>
      <c r="L4" s="40">
        <f t="shared" si="1"/>
        <v>0</v>
      </c>
    </row>
    <row r="5" spans="1:12" ht="30" customHeight="1" x14ac:dyDescent="0.25">
      <c r="A5" s="289" t="s">
        <v>471</v>
      </c>
      <c r="B5" s="160" t="s">
        <v>472</v>
      </c>
      <c r="C5" s="235" t="s">
        <v>42</v>
      </c>
      <c r="D5" s="26"/>
      <c r="E5" s="351">
        <v>22017</v>
      </c>
      <c r="F5" s="611" t="s">
        <v>43</v>
      </c>
      <c r="G5" s="124"/>
      <c r="H5" s="617" t="str">
        <f>IF(D5&lt;0,"Il valore deve essere maggiore o uguale a zero","")</f>
        <v/>
      </c>
      <c r="I5" s="618" t="str">
        <f>IF(E5&lt;0,"Il valore deve essere maggiore o uguale a zero","")</f>
        <v/>
      </c>
      <c r="J5" s="124"/>
      <c r="K5" s="40">
        <f t="shared" si="0"/>
        <v>0</v>
      </c>
      <c r="L5" s="40">
        <f t="shared" si="1"/>
        <v>0</v>
      </c>
    </row>
    <row r="6" spans="1:12" ht="30" customHeight="1" x14ac:dyDescent="0.25">
      <c r="A6" s="280" t="s">
        <v>473</v>
      </c>
      <c r="B6" s="257" t="s">
        <v>474</v>
      </c>
      <c r="C6" s="235" t="s">
        <v>48</v>
      </c>
      <c r="D6" s="26">
        <v>46</v>
      </c>
      <c r="E6" s="351">
        <v>46</v>
      </c>
      <c r="F6" s="611" t="s">
        <v>43</v>
      </c>
      <c r="G6" s="124"/>
      <c r="H6" s="617" t="str">
        <f>IF(D3="SI",IF(D6&lt;=0,"Il valore deve essere maggiore di zero",""),IF(D6&lt;&gt;"","Non risulta gestito il servizio di depurazione",""))</f>
        <v/>
      </c>
      <c r="I6" s="618" t="str">
        <f>IF(E3="SI",IF(E6&lt;=0,"Il valore deve essere maggiore di zero",""),IF(E6&lt;&gt;"","Non risulta gestito il servizio di depurazione",""))</f>
        <v/>
      </c>
      <c r="J6" s="124"/>
      <c r="K6" s="40">
        <f t="shared" si="0"/>
        <v>0</v>
      </c>
      <c r="L6" s="40">
        <f t="shared" si="1"/>
        <v>0</v>
      </c>
    </row>
    <row r="7" spans="1:12" ht="30" customHeight="1" x14ac:dyDescent="0.25">
      <c r="A7" s="280" t="s">
        <v>475</v>
      </c>
      <c r="B7" s="257" t="s">
        <v>476</v>
      </c>
      <c r="C7" s="235" t="s">
        <v>51</v>
      </c>
      <c r="D7" s="26">
        <v>2589</v>
      </c>
      <c r="E7" s="351">
        <v>2589</v>
      </c>
      <c r="F7" s="611" t="s">
        <v>43</v>
      </c>
      <c r="G7" s="124"/>
      <c r="H7" s="617" t="str">
        <f>IF(D3="SI",IF(D7&lt;=0,"Il valore deve essere maggiore di zero",""),IF(D7&lt;&gt;"","Non risulta gestito il servizio di depurazione",""))</f>
        <v/>
      </c>
      <c r="I7" s="618" t="str">
        <f>IF(E3="SI",IF(E7&lt;=0,"Il valore deve essere maggiore di zero",""),IF(E7&lt;&gt;"","Non risulta gestito il servizio di depurazione",""))</f>
        <v/>
      </c>
      <c r="J7" s="124"/>
      <c r="K7" s="40">
        <f t="shared" si="0"/>
        <v>0</v>
      </c>
      <c r="L7" s="40">
        <f t="shared" si="1"/>
        <v>0</v>
      </c>
    </row>
    <row r="8" spans="1:12" ht="45" customHeight="1" x14ac:dyDescent="0.25">
      <c r="A8" s="296" t="s">
        <v>477</v>
      </c>
      <c r="B8" s="143" t="s">
        <v>478</v>
      </c>
      <c r="C8" s="235" t="s">
        <v>397</v>
      </c>
      <c r="D8" s="183">
        <v>212834.28591324214</v>
      </c>
      <c r="E8" s="369">
        <v>347964</v>
      </c>
      <c r="F8" s="348" t="s">
        <v>479</v>
      </c>
      <c r="G8" s="28"/>
      <c r="H8" s="617" t="str">
        <f>IF(AND('QT-Depurazione'!D3="SI",D8&lt;=0),"Il valore deve essere maggiore di zero","")</f>
        <v/>
      </c>
      <c r="I8" s="618" t="str">
        <f>IF(AND('QT-Depurazione'!E3="SI",E8&lt;=0),"Il valore deve essere maggiore di zero","")</f>
        <v/>
      </c>
      <c r="J8" s="28"/>
      <c r="K8" s="40">
        <f t="shared" si="0"/>
        <v>0</v>
      </c>
      <c r="L8" s="40">
        <f t="shared" si="1"/>
        <v>0</v>
      </c>
    </row>
    <row r="9" spans="1:12" ht="25.35" customHeight="1" x14ac:dyDescent="0.25">
      <c r="A9" s="296" t="s">
        <v>480</v>
      </c>
      <c r="B9" s="155" t="s">
        <v>481</v>
      </c>
      <c r="C9" s="235" t="s">
        <v>397</v>
      </c>
      <c r="D9" s="183">
        <v>202761.78591324211</v>
      </c>
      <c r="E9" s="369">
        <f>E8-E10</f>
        <v>340231</v>
      </c>
      <c r="F9" s="348" t="s">
        <v>171</v>
      </c>
      <c r="G9" s="28"/>
      <c r="H9" s="658" t="str">
        <f>IF(OR(D9&lt;&gt;"",D10&lt;&gt;""),IF(OR(D9&lt;0,D10&lt;0,D10+D9&lt;&gt;D8),"Ogni di cui deve essere maggiore o uguale a zero e la somma deve essere pari a Car_dep",""),"")</f>
        <v/>
      </c>
      <c r="I9" s="659" t="str">
        <f>IF(OR(E9&lt;&gt;"",E10&lt;&gt;""),IF(OR(E9&lt;0,E10&lt;0,E10+E9&lt;&gt;E8),"Ogni di cui deve essere maggiore o uguale a zero e la somma deve essere pari a Car_dep",""),"")</f>
        <v/>
      </c>
      <c r="J9" s="28"/>
      <c r="K9" s="40">
        <f t="shared" si="0"/>
        <v>0</v>
      </c>
      <c r="L9" s="40">
        <f t="shared" si="1"/>
        <v>0</v>
      </c>
    </row>
    <row r="10" spans="1:12" ht="25.35" customHeight="1" x14ac:dyDescent="0.25">
      <c r="A10" s="296" t="s">
        <v>482</v>
      </c>
      <c r="B10" s="155" t="s">
        <v>483</v>
      </c>
      <c r="C10" s="235" t="s">
        <v>397</v>
      </c>
      <c r="D10" s="183">
        <v>10072.50000000002</v>
      </c>
      <c r="E10" s="369">
        <v>7733</v>
      </c>
      <c r="F10" s="348" t="s">
        <v>171</v>
      </c>
      <c r="G10" s="28"/>
      <c r="H10" s="658"/>
      <c r="I10" s="659"/>
      <c r="J10" s="28"/>
      <c r="K10" s="40">
        <f t="shared" si="0"/>
        <v>0</v>
      </c>
      <c r="L10" s="40">
        <f t="shared" si="1"/>
        <v>0</v>
      </c>
    </row>
    <row r="11" spans="1:12" ht="32.1" customHeight="1" x14ac:dyDescent="0.25">
      <c r="A11" s="243" t="s">
        <v>484</v>
      </c>
      <c r="B11" s="143" t="s">
        <v>485</v>
      </c>
      <c r="C11" s="235" t="s">
        <v>54</v>
      </c>
      <c r="D11" s="183">
        <v>11326960</v>
      </c>
      <c r="E11" s="369">
        <v>11215035</v>
      </c>
      <c r="F11" s="386" t="s">
        <v>55</v>
      </c>
      <c r="G11" s="28"/>
      <c r="H11" s="617" t="str">
        <f>IF(D11&lt;0,"Il valore deve essere maggiore o uguale a zero","")</f>
        <v/>
      </c>
      <c r="I11" s="618" t="str">
        <f>IF(E11&lt;0,"Il valore deve essere maggiore o uguale a zero","")</f>
        <v/>
      </c>
      <c r="J11" s="28"/>
      <c r="K11" s="40">
        <f t="shared" si="0"/>
        <v>0</v>
      </c>
      <c r="L11" s="40">
        <f t="shared" si="1"/>
        <v>0</v>
      </c>
    </row>
    <row r="12" spans="1:12" ht="25.35" customHeight="1" thickBot="1" x14ac:dyDescent="0.3">
      <c r="A12" s="303" t="s">
        <v>486</v>
      </c>
      <c r="B12" s="304" t="s">
        <v>487</v>
      </c>
      <c r="C12" s="236" t="s">
        <v>54</v>
      </c>
      <c r="D12" s="305"/>
      <c r="E12" s="390">
        <v>0</v>
      </c>
      <c r="F12" s="349" t="s">
        <v>488</v>
      </c>
      <c r="G12" s="28"/>
      <c r="H12" s="211" t="str">
        <f>IF(OR(D12&lt;0,D12&gt;D11),"Il valore deve essere maggiore o uguale a zero e minore di EE_DEP","")</f>
        <v/>
      </c>
      <c r="I12" s="375" t="str">
        <f>IF(OR(E12&lt;0,E12&gt;E11),"Il valore deve essere maggiore o uguale a zero e minore di EE_DEP","")</f>
        <v/>
      </c>
      <c r="J12" s="28"/>
      <c r="K12" s="40">
        <f t="shared" si="0"/>
        <v>0</v>
      </c>
      <c r="L12" s="40">
        <f t="shared" si="1"/>
        <v>0</v>
      </c>
    </row>
    <row r="13" spans="1:12" ht="10.5" customHeight="1" x14ac:dyDescent="0.25">
      <c r="A13" s="82"/>
      <c r="B13" s="83"/>
      <c r="C13" s="84"/>
      <c r="D13" s="85"/>
      <c r="E13" s="85"/>
      <c r="F13" s="86"/>
      <c r="G13" s="86"/>
      <c r="H13" s="125"/>
      <c r="I13" s="125"/>
      <c r="J13" s="86"/>
      <c r="K13" s="40">
        <f t="shared" si="0"/>
        <v>0</v>
      </c>
      <c r="L13" s="40">
        <f t="shared" si="1"/>
        <v>0</v>
      </c>
    </row>
    <row r="14" spans="1:12" ht="18" thickBot="1" x14ac:dyDescent="0.3">
      <c r="A14" s="45" t="s">
        <v>489</v>
      </c>
      <c r="B14" s="83"/>
      <c r="C14" s="84"/>
      <c r="D14" s="85"/>
      <c r="E14" s="85"/>
      <c r="F14" s="86"/>
      <c r="G14" s="86"/>
      <c r="H14" s="125"/>
      <c r="I14" s="125"/>
      <c r="J14" s="86"/>
      <c r="K14" s="40">
        <f t="shared" si="0"/>
        <v>0</v>
      </c>
      <c r="L14" s="40">
        <f t="shared" si="1"/>
        <v>0</v>
      </c>
    </row>
    <row r="15" spans="1:12" ht="45" x14ac:dyDescent="0.25">
      <c r="A15" s="88" t="s">
        <v>490</v>
      </c>
      <c r="B15" s="604" t="s">
        <v>491</v>
      </c>
      <c r="C15" s="48" t="s">
        <v>167</v>
      </c>
      <c r="D15" s="7">
        <v>0</v>
      </c>
      <c r="E15" s="511">
        <v>0</v>
      </c>
      <c r="F15" s="515"/>
      <c r="G15" s="126"/>
      <c r="H15" s="212" t="str">
        <f>IF(D3="SI",IF(OR(D15&lt;0,D15="",D15&gt;D36),"Il valore deve essere maggiore o uguale a zero e minore o oguale ad Agg_tot",""),IF(D15&lt;&gt;"","Non risulta gestito il servizio di depurazione",""))</f>
        <v/>
      </c>
      <c r="I15" s="372" t="str">
        <f>IF(E3="SI",IF(OR(E15&lt;0,E15="",E15&gt;E36),"Il valore deve essere maggiore o uguale a zero e minore o oguale ad Agg_tot",""),IF(E15&lt;&gt;"","Non risulta gestito il servizio di depurazione",""))</f>
        <v/>
      </c>
      <c r="J15" s="126"/>
      <c r="K15" s="40">
        <f t="shared" si="0"/>
        <v>0</v>
      </c>
      <c r="L15" s="40">
        <f t="shared" si="1"/>
        <v>0</v>
      </c>
    </row>
    <row r="16" spans="1:12" ht="45" customHeight="1" x14ac:dyDescent="0.25">
      <c r="A16" s="412" t="s">
        <v>492</v>
      </c>
      <c r="B16" s="605" t="s">
        <v>493</v>
      </c>
      <c r="C16" s="112" t="s">
        <v>397</v>
      </c>
      <c r="D16" s="117">
        <v>0</v>
      </c>
      <c r="E16" s="512">
        <v>0</v>
      </c>
      <c r="F16" s="628"/>
      <c r="G16" s="126"/>
      <c r="H16" s="617" t="str">
        <f>IF(D3="SI",IF(OR(D16&lt;0,D16=""),"Il valore deve essere maggiore o uguale a zero",""),IF(D16&lt;&gt;"","Non risulta gestito il servizio di depurazione",""))</f>
        <v/>
      </c>
      <c r="I16" s="618" t="str">
        <f>IF(E3="SI",IF(OR(E16&lt;0,E16=""),"Il valore deve essere maggiore o uguale a zero",""),IF(E16&lt;&gt;"","Non risulta gestito il servizio di depurazione",""))</f>
        <v/>
      </c>
      <c r="J16" s="126"/>
      <c r="K16" s="40">
        <f t="shared" si="0"/>
        <v>0</v>
      </c>
      <c r="L16" s="40">
        <f t="shared" si="1"/>
        <v>0</v>
      </c>
    </row>
    <row r="17" spans="1:12" ht="45" customHeight="1" x14ac:dyDescent="0.25">
      <c r="A17" s="107" t="s">
        <v>494</v>
      </c>
      <c r="B17" s="108" t="s">
        <v>495</v>
      </c>
      <c r="C17" s="114" t="s">
        <v>28</v>
      </c>
      <c r="D17" s="181" t="str">
        <f>IF(D3="SI",IF(OR(D15&gt;0,D16&gt;0,AND(D15="",D16="")),"NO","SI"),"")</f>
        <v>SI</v>
      </c>
      <c r="E17" s="513" t="str">
        <f>IF(E3="SI",IF(OR(E15&gt;0,E16&gt;0,AND(E15="",E16="")),"NO","SI"),"")</f>
        <v>SI</v>
      </c>
      <c r="F17" s="611" t="s">
        <v>400</v>
      </c>
      <c r="G17" s="126"/>
      <c r="H17" s="617" t="str">
        <f>IF(AND(D3="SI",D17="NO"),"Attenzione, prerequisito mancante","")</f>
        <v/>
      </c>
      <c r="I17" s="618" t="str">
        <f>IF(AND(E3="SI",E17="NO"),"Attenzione, prerequisito mancante","")</f>
        <v/>
      </c>
      <c r="J17" s="126"/>
      <c r="K17" s="40">
        <f t="shared" si="0"/>
        <v>0</v>
      </c>
      <c r="L17" s="40">
        <f t="shared" si="1"/>
        <v>0</v>
      </c>
    </row>
    <row r="18" spans="1:12" ht="43.5" customHeight="1" x14ac:dyDescent="0.25">
      <c r="A18" s="107" t="s">
        <v>496</v>
      </c>
      <c r="B18" s="71" t="s">
        <v>497</v>
      </c>
      <c r="C18" s="50" t="s">
        <v>28</v>
      </c>
      <c r="D18" s="182" t="s">
        <v>82</v>
      </c>
      <c r="E18" s="516" t="s">
        <v>82</v>
      </c>
      <c r="F18" s="611" t="s">
        <v>83</v>
      </c>
      <c r="G18" s="126"/>
      <c r="H18" s="617" t="str">
        <f>IF(AND(D3="SI",OR(D18="Non adeguato",D18="")),"Attenzione, prerequisito mancante","")</f>
        <v/>
      </c>
      <c r="I18" s="618" t="str">
        <f>IF(AND(E3="SI",OR(E18="Non adeguato",E18="")),"Attenzione, prerequisito mancante","")</f>
        <v/>
      </c>
      <c r="J18" s="126"/>
      <c r="K18" s="40">
        <f t="shared" si="0"/>
        <v>0</v>
      </c>
      <c r="L18" s="40">
        <f t="shared" si="1"/>
        <v>0</v>
      </c>
    </row>
    <row r="19" spans="1:12" ht="45" customHeight="1" thickBot="1" x14ac:dyDescent="0.3">
      <c r="A19" s="110" t="s">
        <v>498</v>
      </c>
      <c r="B19" s="111" t="s">
        <v>499</v>
      </c>
      <c r="C19" s="115" t="s">
        <v>28</v>
      </c>
      <c r="D19" s="119"/>
      <c r="E19" s="629"/>
      <c r="F19" s="10" t="s">
        <v>268</v>
      </c>
      <c r="G19" s="28"/>
      <c r="H19" s="226"/>
      <c r="I19" s="427"/>
      <c r="J19" s="28"/>
      <c r="K19" s="40">
        <f t="shared" si="0"/>
        <v>0</v>
      </c>
      <c r="L19" s="40">
        <f t="shared" si="1"/>
        <v>0</v>
      </c>
    </row>
    <row r="20" spans="1:12" ht="10.5" customHeight="1" x14ac:dyDescent="0.25">
      <c r="A20" s="45"/>
      <c r="B20" s="83"/>
      <c r="C20" s="84"/>
      <c r="D20" s="85"/>
      <c r="E20" s="85"/>
      <c r="F20" s="86"/>
      <c r="G20" s="86"/>
      <c r="H20" s="125"/>
      <c r="I20" s="125"/>
      <c r="J20" s="86"/>
      <c r="K20" s="40">
        <f t="shared" si="0"/>
        <v>0</v>
      </c>
      <c r="L20" s="40">
        <f t="shared" si="1"/>
        <v>0</v>
      </c>
    </row>
    <row r="21" spans="1:12" ht="18" thickBot="1" x14ac:dyDescent="0.3">
      <c r="A21" s="45" t="s">
        <v>500</v>
      </c>
      <c r="B21" s="83"/>
      <c r="C21" s="84"/>
      <c r="D21" s="85"/>
      <c r="E21" s="85"/>
      <c r="F21" s="86"/>
      <c r="G21" s="86"/>
      <c r="H21" s="125"/>
      <c r="I21" s="125"/>
      <c r="J21" s="86"/>
      <c r="K21" s="40">
        <f t="shared" si="0"/>
        <v>0</v>
      </c>
      <c r="L21" s="40">
        <f t="shared" si="1"/>
        <v>0</v>
      </c>
    </row>
    <row r="22" spans="1:12" s="44" customFormat="1" ht="70.5" customHeight="1" x14ac:dyDescent="0.25">
      <c r="A22" s="127" t="s">
        <v>501</v>
      </c>
      <c r="B22" s="556" t="s">
        <v>502</v>
      </c>
      <c r="C22" s="128" t="s">
        <v>503</v>
      </c>
      <c r="D22" s="12">
        <v>2043.3158239999998</v>
      </c>
      <c r="E22" s="439">
        <v>2000.2</v>
      </c>
      <c r="F22" s="347" t="s">
        <v>504</v>
      </c>
      <c r="G22" s="28"/>
      <c r="H22" s="212" t="str">
        <f>IF(D3="SI",IF(OR(D22&lt;=0,D22=""),"Il valore deve essere maggiore di zero",""),IF(D22&lt;&gt;"","Non risulta gestito il servizio di depurazione",""))</f>
        <v/>
      </c>
      <c r="I22" s="372" t="str">
        <f>IF(E3="SI",IF(OR(E22&lt;=0,E22=""),"Il valore deve essere maggiore di zero",""),IF(E22&lt;&gt;"","Non risulta gestito il servizio di depurazione",""))</f>
        <v/>
      </c>
      <c r="J22" s="28"/>
      <c r="K22" s="40">
        <f t="shared" si="0"/>
        <v>0</v>
      </c>
      <c r="L22" s="40">
        <f t="shared" si="1"/>
        <v>0</v>
      </c>
    </row>
    <row r="23" spans="1:12" ht="45" customHeight="1" x14ac:dyDescent="0.25">
      <c r="A23" s="289" t="s">
        <v>505</v>
      </c>
      <c r="B23" s="145" t="s">
        <v>506</v>
      </c>
      <c r="C23" s="235" t="s">
        <v>503</v>
      </c>
      <c r="D23" s="183">
        <v>0</v>
      </c>
      <c r="E23" s="369">
        <v>0</v>
      </c>
      <c r="F23" s="348" t="s">
        <v>507</v>
      </c>
      <c r="G23" s="28"/>
      <c r="H23" s="662" t="str">
        <f>IF(OR(D23&lt;&gt;"",D24&lt;&gt;""),IF(OR(D23&lt;0,D24&lt;0,D24+D23&lt;&gt;D22),"Ogni di cui deve essere maggiore o uguale a zero e la somma deve essere pari a ∑SS_out,imp",""),"")</f>
        <v/>
      </c>
      <c r="I23" s="664" t="str">
        <f>IF(OR(E23&lt;&gt;"",E24&lt;&gt;""),IF(OR(E23&lt;0,E24&lt;0,E24+E23&lt;&gt;E22),"Ogni di cui deve essere maggiore o uguale a zero e la somma deve essere pari a ∑SS_out,imp",""),"")</f>
        <v/>
      </c>
      <c r="J23" s="28"/>
      <c r="K23" s="40">
        <f t="shared" si="0"/>
        <v>0</v>
      </c>
      <c r="L23" s="40">
        <f t="shared" si="1"/>
        <v>0</v>
      </c>
    </row>
    <row r="24" spans="1:12" s="44" customFormat="1" ht="32.1" customHeight="1" x14ac:dyDescent="0.25">
      <c r="A24" s="289" t="s">
        <v>508</v>
      </c>
      <c r="B24" s="145" t="s">
        <v>509</v>
      </c>
      <c r="C24" s="235" t="s">
        <v>503</v>
      </c>
      <c r="D24" s="183">
        <v>2043.3158239999998</v>
      </c>
      <c r="E24" s="369">
        <v>2000.2</v>
      </c>
      <c r="F24" s="348"/>
      <c r="G24" s="28"/>
      <c r="H24" s="663"/>
      <c r="I24" s="665"/>
      <c r="J24" s="28"/>
      <c r="K24" s="40">
        <f t="shared" si="0"/>
        <v>0</v>
      </c>
      <c r="L24" s="40">
        <f t="shared" si="1"/>
        <v>0</v>
      </c>
    </row>
    <row r="25" spans="1:12" s="44" customFormat="1" ht="25.35" customHeight="1" x14ac:dyDescent="0.25">
      <c r="A25" s="289" t="s">
        <v>510</v>
      </c>
      <c r="B25" s="161" t="s">
        <v>511</v>
      </c>
      <c r="C25" s="235" t="s">
        <v>503</v>
      </c>
      <c r="D25" s="183">
        <v>0</v>
      </c>
      <c r="E25" s="369">
        <v>0</v>
      </c>
      <c r="F25" s="348"/>
      <c r="G25" s="28"/>
      <c r="H25" s="662" t="str">
        <f>IF(OR(D25&lt;&gt;"",D26&lt;&gt;"",D27&lt;&gt;"",D28&lt;&gt;"",D29&lt;&gt;""),IF(OR(D25&lt;0,D26&lt;0,D27&lt;0,D28&lt;0,D29&lt;0,D29+D27+D28+D26+D25&lt;&gt;D24),"Ogni di cui deve essere maggiore o uguale a zero e la somma deve essere pari a ∑SSrec,imp",""),"")</f>
        <v/>
      </c>
      <c r="I25" s="664" t="str">
        <f>IF(OR(E25&lt;&gt;"",E26&lt;&gt;"",E27&lt;&gt;"",E28&lt;&gt;"",E29&lt;&gt;""),IF(OR(E25&lt;0,E26&lt;0,E27&lt;0,E28&lt;0,E29&lt;0,E29+E27+E28+E26+E25&lt;&gt;E24),"Ogni di cui deve essere maggiore o uguale a zero e la somma deve essere pari a ∑SSrec,imp",""),"")</f>
        <v/>
      </c>
      <c r="J25" s="28"/>
      <c r="K25" s="40">
        <f t="shared" si="0"/>
        <v>0</v>
      </c>
      <c r="L25" s="40">
        <f t="shared" si="1"/>
        <v>0</v>
      </c>
    </row>
    <row r="26" spans="1:12" s="44" customFormat="1" ht="25.35" customHeight="1" x14ac:dyDescent="0.25">
      <c r="A26" s="289" t="s">
        <v>512</v>
      </c>
      <c r="B26" s="161" t="s">
        <v>513</v>
      </c>
      <c r="C26" s="235" t="s">
        <v>503</v>
      </c>
      <c r="D26" s="183">
        <v>0</v>
      </c>
      <c r="E26" s="369">
        <v>0</v>
      </c>
      <c r="F26" s="348"/>
      <c r="G26" s="28"/>
      <c r="H26" s="666"/>
      <c r="I26" s="667"/>
      <c r="J26" s="28"/>
      <c r="K26" s="40">
        <f t="shared" si="0"/>
        <v>0</v>
      </c>
      <c r="L26" s="40">
        <f t="shared" si="1"/>
        <v>0</v>
      </c>
    </row>
    <row r="27" spans="1:12" s="44" customFormat="1" ht="25.35" customHeight="1" x14ac:dyDescent="0.25">
      <c r="A27" s="289" t="s">
        <v>514</v>
      </c>
      <c r="B27" s="161" t="s">
        <v>515</v>
      </c>
      <c r="C27" s="235" t="s">
        <v>503</v>
      </c>
      <c r="D27" s="183">
        <v>2043.3158239999998</v>
      </c>
      <c r="E27" s="369">
        <v>2000.2</v>
      </c>
      <c r="F27" s="448" t="s">
        <v>516</v>
      </c>
      <c r="G27" s="28"/>
      <c r="H27" s="666"/>
      <c r="I27" s="667"/>
      <c r="J27" s="28"/>
      <c r="K27" s="40">
        <f t="shared" si="0"/>
        <v>0</v>
      </c>
      <c r="L27" s="40">
        <f t="shared" si="1"/>
        <v>0</v>
      </c>
    </row>
    <row r="28" spans="1:12" s="44" customFormat="1" ht="28.5" customHeight="1" x14ac:dyDescent="0.25">
      <c r="A28" s="509" t="s">
        <v>517</v>
      </c>
      <c r="B28" s="161" t="s">
        <v>518</v>
      </c>
      <c r="C28" s="235" t="s">
        <v>503</v>
      </c>
      <c r="D28" s="183">
        <v>0</v>
      </c>
      <c r="E28" s="369">
        <v>0</v>
      </c>
      <c r="F28" s="448" t="s">
        <v>519</v>
      </c>
      <c r="G28" s="28"/>
      <c r="H28" s="666"/>
      <c r="I28" s="667"/>
      <c r="J28" s="28"/>
      <c r="K28" s="40">
        <f t="shared" si="0"/>
        <v>0</v>
      </c>
      <c r="L28" s="40">
        <f t="shared" si="1"/>
        <v>0</v>
      </c>
    </row>
    <row r="29" spans="1:12" s="44" customFormat="1" ht="30" customHeight="1" x14ac:dyDescent="0.25">
      <c r="A29" s="289" t="s">
        <v>520</v>
      </c>
      <c r="B29" s="161" t="s">
        <v>521</v>
      </c>
      <c r="C29" s="235" t="s">
        <v>503</v>
      </c>
      <c r="D29" s="183">
        <v>0</v>
      </c>
      <c r="E29" s="369">
        <v>0</v>
      </c>
      <c r="F29" s="448" t="s">
        <v>522</v>
      </c>
      <c r="G29" s="28"/>
      <c r="H29" s="663"/>
      <c r="I29" s="665"/>
      <c r="J29" s="28"/>
      <c r="K29" s="40">
        <f t="shared" si="0"/>
        <v>0</v>
      </c>
      <c r="L29" s="40">
        <f t="shared" si="1"/>
        <v>0</v>
      </c>
    </row>
    <row r="30" spans="1:12" s="44" customFormat="1" ht="32.1" customHeight="1" x14ac:dyDescent="0.25">
      <c r="A30" s="289" t="s">
        <v>523</v>
      </c>
      <c r="B30" s="143" t="s">
        <v>524</v>
      </c>
      <c r="C30" s="235" t="s">
        <v>525</v>
      </c>
      <c r="D30" s="183">
        <v>65913.413677419303</v>
      </c>
      <c r="E30" s="369">
        <v>65582</v>
      </c>
      <c r="F30" s="348"/>
      <c r="G30" s="28"/>
      <c r="H30" s="617" t="str">
        <f>IF(D3="SI",IF(OR(D30="",D30&lt;=0,D30&lt;D22),"Il valore deve essere maggiore di ∑SS_out,imp",""),IF(D30&lt;&gt;"","Non risulta gestito il servizio di depurazione",""))</f>
        <v/>
      </c>
      <c r="I30" s="618" t="str">
        <f>IF(E3="SI",IF(OR(E30="",E30&lt;=0,E30&lt;E22),"Il valore deve essere maggiore di ∑SS_out,imp",""),IF(E30&lt;&gt;"","Non risulta gestito il servizio di depurazione",""))</f>
        <v/>
      </c>
      <c r="J30" s="28"/>
      <c r="K30" s="40">
        <f t="shared" si="0"/>
        <v>0</v>
      </c>
      <c r="L30" s="40">
        <f t="shared" si="1"/>
        <v>0</v>
      </c>
    </row>
    <row r="31" spans="1:12" ht="45" customHeight="1" x14ac:dyDescent="0.25">
      <c r="A31" s="289" t="s">
        <v>526</v>
      </c>
      <c r="B31" s="143" t="s">
        <v>527</v>
      </c>
      <c r="C31" s="235" t="s">
        <v>525</v>
      </c>
      <c r="D31" s="183">
        <v>0</v>
      </c>
      <c r="E31" s="369">
        <v>0</v>
      </c>
      <c r="F31" s="348" t="s">
        <v>507</v>
      </c>
      <c r="G31" s="28"/>
      <c r="H31" s="617" t="str">
        <f>IF(OR(D31&lt;0,D31&gt;D30),"Il valore deve essere maggiore o uguale a zero e minore o uguale di ∑MFtq,out,imp","")</f>
        <v/>
      </c>
      <c r="I31" s="618" t="str">
        <f>IF(OR(E31&lt;0,E31&gt;E30),"Il valore deve essere maggiore o uguale a zero e minore o uguale di ∑MFtq,out,imp","")</f>
        <v/>
      </c>
      <c r="J31" s="28"/>
      <c r="K31" s="40">
        <f t="shared" si="0"/>
        <v>0</v>
      </c>
      <c r="L31" s="40">
        <f t="shared" si="1"/>
        <v>0</v>
      </c>
    </row>
    <row r="32" spans="1:12" s="44" customFormat="1" ht="35.25" customHeight="1" x14ac:dyDescent="0.25">
      <c r="A32" s="444" t="s">
        <v>528</v>
      </c>
      <c r="B32" s="162" t="s">
        <v>529</v>
      </c>
      <c r="C32" s="445" t="s">
        <v>68</v>
      </c>
      <c r="D32" s="171">
        <f>IF(AND(D22&gt;0,D30&gt;0,D22&lt;=D30),D22/D30,"")</f>
        <v>3.1000000000000021E-2</v>
      </c>
      <c r="E32" s="449">
        <v>3.0499999999999999E-2</v>
      </c>
      <c r="F32" s="386"/>
      <c r="G32" s="28"/>
      <c r="H32" s="617" t="str">
        <f>IF(AND(D3="SI",D32=""),"Indicatore non calcolabile","")</f>
        <v/>
      </c>
      <c r="I32" s="618" t="str">
        <f>IF(AND(E3="SI",E32=""),"Indicatore non calcolabile","")</f>
        <v/>
      </c>
      <c r="J32" s="28"/>
      <c r="K32" s="40">
        <f t="shared" si="0"/>
        <v>0</v>
      </c>
      <c r="L32" s="40">
        <f t="shared" si="1"/>
        <v>0</v>
      </c>
    </row>
    <row r="33" spans="1:12" ht="30" customHeight="1" x14ac:dyDescent="0.25">
      <c r="A33" s="246" t="s">
        <v>530</v>
      </c>
      <c r="B33" s="163" t="s">
        <v>531</v>
      </c>
      <c r="C33" s="443" t="s">
        <v>68</v>
      </c>
      <c r="D33" s="172">
        <f>IF(AND(D22&gt;0,D23&gt;=0,D23&lt;&gt;"",D23&lt;=D22),D23/D22,"")</f>
        <v>0</v>
      </c>
      <c r="E33" s="440">
        <f>IF(AND(E22&gt;0,E23&gt;=0,E23&lt;&gt;"",E23&lt;=E22),E23/E22,"")</f>
        <v>0</v>
      </c>
      <c r="F33" s="348" t="s">
        <v>532</v>
      </c>
      <c r="G33" s="28"/>
      <c r="H33" s="617" t="str">
        <f>IF(AND(D3="SI",D33=""),"Macro-indicatore non calcolabile","")</f>
        <v/>
      </c>
      <c r="I33" s="618" t="str">
        <f>IF(AND(E3="SI",E33=""),"Macro-indicatore non calcolabile","")</f>
        <v/>
      </c>
      <c r="J33" s="28"/>
      <c r="K33" s="40">
        <f t="shared" ref="K33:K62" si="2">IF(H33="",0,1)</f>
        <v>0</v>
      </c>
      <c r="L33" s="40">
        <f t="shared" ref="L33:L62" si="3">IF(I33="",0,1)</f>
        <v>0</v>
      </c>
    </row>
    <row r="34" spans="1:12" ht="30" customHeight="1" x14ac:dyDescent="0.25">
      <c r="A34" s="444" t="s">
        <v>533</v>
      </c>
      <c r="B34" s="162" t="s">
        <v>534</v>
      </c>
      <c r="C34" s="445" t="s">
        <v>28</v>
      </c>
      <c r="D34" s="173" t="str">
        <f>IF(D33="","",IF(D33&gt;=0.3,"D",IF(AND(D33&gt;=0.15,D32&lt;0.3),"C",IF(AND(D33&gt;=0.15,D32&gt;=0.3),"B","A"))))</f>
        <v>A</v>
      </c>
      <c r="E34" s="174" t="str">
        <f>IF(E33="","",IF(E33&gt;=0.3,"D",IF(AND(E33&gt;=0.15,E32&lt;0.3),"C",IF(AND(E33&gt;=0.15,E32&gt;=0.3),"B","A"))))</f>
        <v>A</v>
      </c>
      <c r="F34" s="348"/>
      <c r="G34" s="28"/>
      <c r="H34" s="225"/>
      <c r="I34" s="377"/>
      <c r="J34" s="28"/>
      <c r="K34" s="40">
        <f t="shared" si="2"/>
        <v>0</v>
      </c>
      <c r="L34" s="40">
        <f t="shared" si="3"/>
        <v>0</v>
      </c>
    </row>
    <row r="35" spans="1:12" ht="30" customHeight="1" x14ac:dyDescent="0.25">
      <c r="A35" s="444" t="s">
        <v>535</v>
      </c>
      <c r="B35" s="162" t="s">
        <v>536</v>
      </c>
      <c r="C35" s="445" t="s">
        <v>28</v>
      </c>
      <c r="D35" s="173" t="str">
        <f>IF(D34="A","Mantenimento",IF(D34="B","-1% di MF tq,disc",IF(D34="C","-3% di MF tq,disc",IF(D34="D","-5% di MF tq,disc",""))))</f>
        <v>Mantenimento</v>
      </c>
      <c r="E35" s="174" t="str">
        <f>IF(E34="A","Mantenimento",IF(E34="B","-1% di MF tq,disc",IF(E34="C","-3% di MF tq,disc",IF(E34="D","-5% di MF tq,disc",""))))</f>
        <v>Mantenimento</v>
      </c>
      <c r="F35" s="348"/>
      <c r="G35" s="28"/>
      <c r="H35" s="225"/>
      <c r="I35" s="377"/>
      <c r="J35" s="28"/>
      <c r="K35" s="40">
        <f t="shared" si="2"/>
        <v>0</v>
      </c>
      <c r="L35" s="40">
        <f t="shared" si="3"/>
        <v>0</v>
      </c>
    </row>
    <row r="36" spans="1:12" ht="30" customHeight="1" x14ac:dyDescent="0.25">
      <c r="A36" s="412" t="s">
        <v>537</v>
      </c>
      <c r="B36" s="152" t="s">
        <v>538</v>
      </c>
      <c r="C36" s="112" t="s">
        <v>167</v>
      </c>
      <c r="D36" s="183">
        <v>734</v>
      </c>
      <c r="E36" s="369">
        <v>733</v>
      </c>
      <c r="F36" s="348"/>
      <c r="G36" s="28"/>
      <c r="H36" s="617" t="str">
        <f>IF(D36&lt;0,"Il valore deve essere maggiore o uguale a zero","")</f>
        <v/>
      </c>
      <c r="I36" s="618" t="str">
        <f>IF(E36&lt;0,"Il valore deve essere maggiore o uguale a zero","")</f>
        <v/>
      </c>
      <c r="J36" s="28"/>
      <c r="K36" s="40">
        <f t="shared" si="2"/>
        <v>0</v>
      </c>
      <c r="L36" s="40">
        <f t="shared" si="3"/>
        <v>0</v>
      </c>
    </row>
    <row r="37" spans="1:12" ht="30" customHeight="1" x14ac:dyDescent="0.25">
      <c r="A37" s="412" t="s">
        <v>539</v>
      </c>
      <c r="B37" s="517" t="s">
        <v>540</v>
      </c>
      <c r="C37" s="112" t="s">
        <v>167</v>
      </c>
      <c r="D37" s="518">
        <v>25</v>
      </c>
      <c r="E37" s="410">
        <v>25</v>
      </c>
      <c r="F37" s="409"/>
      <c r="G37" s="126"/>
      <c r="H37" s="617" t="str">
        <f>IF(OR(D37&lt;0,D37&gt;D36),"Il valore deve essere maggiore o uguale a zero e minore di Agg_tot","")</f>
        <v/>
      </c>
      <c r="I37" s="618" t="str">
        <f>IF(OR(E37&lt;0,E37&gt;E36),"Il valore deve essere maggiore o uguale a zero e minore di Agg_tot","")</f>
        <v/>
      </c>
      <c r="J37" s="126"/>
      <c r="K37" s="40">
        <f t="shared" si="2"/>
        <v>0</v>
      </c>
      <c r="L37" s="40">
        <f t="shared" si="3"/>
        <v>0</v>
      </c>
    </row>
    <row r="38" spans="1:12" ht="53.25" customHeight="1" x14ac:dyDescent="0.25">
      <c r="A38" s="557" t="s">
        <v>541</v>
      </c>
      <c r="B38" s="558" t="s">
        <v>542</v>
      </c>
      <c r="C38" s="235" t="s">
        <v>167</v>
      </c>
      <c r="D38" s="183">
        <v>0</v>
      </c>
      <c r="E38" s="369">
        <v>0</v>
      </c>
      <c r="F38" s="348" t="s">
        <v>543</v>
      </c>
      <c r="G38" s="28"/>
      <c r="H38" s="617" t="str">
        <f>IF(D3="SI",IF(OR(D38&lt;0,D38&gt;D36,D38=""),"Il valore deve essere maggiore o uguale a zero e minore o uguale a Agg_tot",""),IF(D38&lt;&gt;"","Non risulta gestito il servizio di depurazione",""))</f>
        <v/>
      </c>
      <c r="I38" s="618" t="str">
        <f>IF(E3="SI",IF(OR(E38&lt;0,E38&gt;E36,E38=""),"Il valore deve essere maggiore o uguale a zero e minore o uguale a Agg_tot",""),IF(E38&lt;&gt;"","Non risulta gestito il servizio di depurazione",""))</f>
        <v/>
      </c>
      <c r="J38" s="28"/>
      <c r="K38" s="40">
        <f t="shared" si="2"/>
        <v>0</v>
      </c>
      <c r="L38" s="40">
        <f t="shared" si="3"/>
        <v>0</v>
      </c>
    </row>
    <row r="39" spans="1:12" ht="53.25" customHeight="1" x14ac:dyDescent="0.25">
      <c r="A39" s="557" t="s">
        <v>544</v>
      </c>
      <c r="B39" s="558" t="s">
        <v>545</v>
      </c>
      <c r="C39" s="235" t="s">
        <v>397</v>
      </c>
      <c r="D39" s="183">
        <v>0</v>
      </c>
      <c r="E39" s="369">
        <v>0</v>
      </c>
      <c r="F39" s="348" t="s">
        <v>543</v>
      </c>
      <c r="G39" s="28"/>
      <c r="H39" s="617" t="str">
        <f>IF(AND(D38&gt;0,OR(D39="",D39&lt;=0)),"Il valore deve essere maggiore di zero",IF(AND(D39&lt;&gt;0,OR(D38=0,D38="")),"Valore non congruente con Agg_2059",""))</f>
        <v/>
      </c>
      <c r="I39" s="618" t="str">
        <f>IF(AND(E38&gt;0,OR(E39="",E39&lt;=0)),"Il valore deve essere maggiore di zero",IF(AND(E39&lt;&gt;0,OR(E38=0,E38="")),"Valore non congruente con Agg_2059",""))</f>
        <v/>
      </c>
      <c r="J39" s="28"/>
      <c r="K39" s="40">
        <f t="shared" si="2"/>
        <v>0</v>
      </c>
      <c r="L39" s="40">
        <f t="shared" si="3"/>
        <v>0</v>
      </c>
    </row>
    <row r="40" spans="1:12" ht="45" x14ac:dyDescent="0.25">
      <c r="A40" s="246" t="s">
        <v>546</v>
      </c>
      <c r="B40" s="559" t="s">
        <v>547</v>
      </c>
      <c r="C40" s="445" t="s">
        <v>397</v>
      </c>
      <c r="D40" s="175">
        <f>IF(OR(AND(D38&gt;0,D39&gt;0),AND(D39&gt;0,D38=0)),D39,IF(AND(D38=0,D38&lt;&gt;"",D39=0),D39,IF(AND(D39=0,D39&lt;&gt;"",D38=0),D39,"")))</f>
        <v>0</v>
      </c>
      <c r="E40" s="401">
        <f>IF(OR(AND(E38&gt;0,E39&gt;0),AND(E39&gt;0,E38=0)),E39,IF(AND(E38=0,E38&lt;&gt;"",E39=0),E39,IF(AND(E39=0,E39&lt;&gt;"",E38=0),E39,"")))</f>
        <v>0</v>
      </c>
      <c r="F40" s="348" t="s">
        <v>548</v>
      </c>
      <c r="G40" s="28"/>
      <c r="H40" s="225"/>
      <c r="I40" s="377"/>
      <c r="J40" s="28"/>
      <c r="K40" s="40">
        <f t="shared" si="2"/>
        <v>0</v>
      </c>
      <c r="L40" s="40">
        <f t="shared" si="3"/>
        <v>0</v>
      </c>
    </row>
    <row r="41" spans="1:12" ht="35.25" customHeight="1" x14ac:dyDescent="0.25">
      <c r="A41" s="243" t="s">
        <v>549</v>
      </c>
      <c r="B41" s="143" t="s">
        <v>550</v>
      </c>
      <c r="C41" s="235" t="s">
        <v>167</v>
      </c>
      <c r="D41" s="183">
        <v>88141</v>
      </c>
      <c r="E41" s="369">
        <v>87976</v>
      </c>
      <c r="F41" s="348"/>
      <c r="G41" s="28"/>
      <c r="H41" s="617" t="str">
        <f>IF(D3="SI",IF(OR(D41&lt;=0,D41=""),"Il valore deve essere maggiore di zero",""),IF(D41&lt;&gt;"","Non risulta gestito il servizio di depurazione",""))</f>
        <v/>
      </c>
      <c r="I41" s="618" t="str">
        <f>IF(E3="SI",IF(OR(E41&lt;=0,E41=""),"Il valore deve essere maggiore di zero",""),IF(E41&lt;&gt;"","Non risulta gestito il servizio di depurazione",""))</f>
        <v/>
      </c>
      <c r="J41" s="28"/>
      <c r="K41" s="40">
        <f t="shared" si="2"/>
        <v>0</v>
      </c>
      <c r="L41" s="40">
        <f t="shared" si="3"/>
        <v>0</v>
      </c>
    </row>
    <row r="42" spans="1:12" ht="25.35" customHeight="1" x14ac:dyDescent="0.25">
      <c r="A42" s="243" t="s">
        <v>551</v>
      </c>
      <c r="B42" s="155" t="s">
        <v>481</v>
      </c>
      <c r="C42" s="293" t="s">
        <v>167</v>
      </c>
      <c r="D42" s="183">
        <v>87833</v>
      </c>
      <c r="E42" s="369">
        <v>87669</v>
      </c>
      <c r="F42" s="348" t="s">
        <v>171</v>
      </c>
      <c r="G42" s="28"/>
      <c r="H42" s="662" t="str">
        <f>IF(OR(D42&lt;&gt;"",D43&lt;&gt;""),IF(OR(D42&lt;0,D43&lt;0,D43+D42&lt;&gt;D41),"Ogni di cui deve essere maggiore o uguale a zero e la somma deve essere pari a UtT_DEP",""),"")</f>
        <v/>
      </c>
      <c r="I42" s="664" t="str">
        <f>IF(OR(E42&lt;&gt;"",E43&lt;&gt;""),IF(OR(E42&lt;0,E43&lt;0,E43+E42&lt;&gt;E41),"Ogni di cui deve essere maggiore o uguale a zero e la somma deve essere pari a UtT_DEP",""),"")</f>
        <v/>
      </c>
      <c r="J42" s="28"/>
      <c r="K42" s="40">
        <f t="shared" si="2"/>
        <v>0</v>
      </c>
      <c r="L42" s="40">
        <f t="shared" si="3"/>
        <v>0</v>
      </c>
    </row>
    <row r="43" spans="1:12" ht="25.35" customHeight="1" x14ac:dyDescent="0.25">
      <c r="A43" s="243" t="s">
        <v>552</v>
      </c>
      <c r="B43" s="155" t="s">
        <v>553</v>
      </c>
      <c r="C43" s="293" t="s">
        <v>167</v>
      </c>
      <c r="D43" s="183">
        <v>308</v>
      </c>
      <c r="E43" s="369">
        <v>307</v>
      </c>
      <c r="F43" s="348" t="s">
        <v>171</v>
      </c>
      <c r="G43" s="28"/>
      <c r="H43" s="663"/>
      <c r="I43" s="665"/>
      <c r="J43" s="28"/>
      <c r="K43" s="40">
        <f t="shared" si="2"/>
        <v>0</v>
      </c>
      <c r="L43" s="40">
        <f t="shared" si="3"/>
        <v>0</v>
      </c>
    </row>
    <row r="44" spans="1:12" ht="35.25" customHeight="1" x14ac:dyDescent="0.25">
      <c r="A44" s="243" t="s">
        <v>554</v>
      </c>
      <c r="B44" s="38" t="s">
        <v>555</v>
      </c>
      <c r="C44" s="293" t="s">
        <v>167</v>
      </c>
      <c r="D44" s="183">
        <v>11265</v>
      </c>
      <c r="E44" s="369">
        <v>11263</v>
      </c>
      <c r="F44" s="348"/>
      <c r="G44" s="28"/>
      <c r="H44" s="617" t="str">
        <f>IF(AND(D3="SI",OR(D44&lt;0,D44&gt;D41,D44="")),"Il valore deve essere maggiore o uguale a zero e minore o uguale a UtT_DEP","")</f>
        <v/>
      </c>
      <c r="I44" s="618" t="str">
        <f>IF(AND(E3="SI",OR(E44&lt;0,E44&gt;E41,E44="")),"Il valore deve essere maggiore o uguale a zero e minore o uguale a UtT_DEP","")</f>
        <v/>
      </c>
      <c r="J44" s="28"/>
      <c r="K44" s="40">
        <f t="shared" si="2"/>
        <v>0</v>
      </c>
      <c r="L44" s="40">
        <f t="shared" si="3"/>
        <v>0</v>
      </c>
    </row>
    <row r="45" spans="1:12" ht="35.25" customHeight="1" x14ac:dyDescent="0.25">
      <c r="A45" s="243" t="s">
        <v>556</v>
      </c>
      <c r="B45" s="138" t="s">
        <v>557</v>
      </c>
      <c r="C45" s="251" t="s">
        <v>167</v>
      </c>
      <c r="D45" s="183">
        <v>73691</v>
      </c>
      <c r="E45" s="369">
        <v>73471</v>
      </c>
      <c r="F45" s="348"/>
      <c r="G45" s="28"/>
      <c r="H45" s="617" t="str">
        <f>IF(D45&lt;D44,"Il valore deve essere maggiore o uguale di UtT_cond,DEP","")</f>
        <v/>
      </c>
      <c r="I45" s="618" t="str">
        <f>IF(E45&lt;E44,"Il valore deve essere maggiore o uguale di UtT_cond,DEP","")</f>
        <v/>
      </c>
      <c r="J45" s="28"/>
      <c r="K45" s="40">
        <f t="shared" si="2"/>
        <v>0</v>
      </c>
      <c r="L45" s="40">
        <f t="shared" si="3"/>
        <v>0</v>
      </c>
    </row>
    <row r="46" spans="1:12" s="44" customFormat="1" ht="35.25" customHeight="1" x14ac:dyDescent="0.25">
      <c r="A46" s="444" t="s">
        <v>558</v>
      </c>
      <c r="B46" s="162" t="s">
        <v>559</v>
      </c>
      <c r="C46" s="445" t="s">
        <v>167</v>
      </c>
      <c r="D46" s="175">
        <f>IF((D41-D44+D45)&lt;0,"",D41-D44+D45)</f>
        <v>150567</v>
      </c>
      <c r="E46" s="401">
        <f>IF((E41-E44+E45)&lt;0,"",E41-E44+E45)</f>
        <v>150184</v>
      </c>
      <c r="F46" s="386"/>
      <c r="G46" s="28"/>
      <c r="H46" s="225"/>
      <c r="I46" s="377"/>
      <c r="J46" s="28"/>
      <c r="K46" s="40">
        <f t="shared" si="2"/>
        <v>0</v>
      </c>
      <c r="L46" s="40">
        <f t="shared" si="3"/>
        <v>0</v>
      </c>
    </row>
    <row r="47" spans="1:12" ht="45" customHeight="1" x14ac:dyDescent="0.25">
      <c r="A47" s="289" t="s">
        <v>560</v>
      </c>
      <c r="B47" s="164" t="s">
        <v>561</v>
      </c>
      <c r="C47" s="114" t="s">
        <v>28</v>
      </c>
      <c r="D47" s="176" t="s">
        <v>29</v>
      </c>
      <c r="E47" s="407" t="s">
        <v>29</v>
      </c>
      <c r="F47" s="348" t="s">
        <v>562</v>
      </c>
      <c r="G47" s="28"/>
      <c r="H47" s="225"/>
      <c r="I47" s="377"/>
      <c r="J47" s="28"/>
      <c r="K47" s="40">
        <f t="shared" si="2"/>
        <v>0</v>
      </c>
      <c r="L47" s="40">
        <f t="shared" si="3"/>
        <v>0</v>
      </c>
    </row>
    <row r="48" spans="1:12" ht="30" customHeight="1" x14ac:dyDescent="0.25">
      <c r="A48" s="289" t="s">
        <v>563</v>
      </c>
      <c r="B48" s="164" t="s">
        <v>564</v>
      </c>
      <c r="C48" s="452" t="s">
        <v>167</v>
      </c>
      <c r="D48" s="183"/>
      <c r="E48" s="369"/>
      <c r="F48" s="348"/>
      <c r="G48" s="28"/>
      <c r="H48" s="617" t="str">
        <f>IF(AND(D47&lt;&gt;"Prevalentemente",OR(D48&gt;0,D48&lt;0)),"Il numero di Comuni va fornito se la risposta a Gest_SII è 'Prevalentemente'",IF(AND(D47="Prevalentemente",D48&lt;=0),"Il valore fornito deve essere maggiore di zero",""))</f>
        <v/>
      </c>
      <c r="I48" s="618" t="str">
        <f>IF(AND(E47&lt;&gt;"Prevalentemente",OR(E48&gt;0,E48&lt;0)),"Il numero di Comuni va fornito se la risposta a Gest_SII è 'Prevalentemente'",IF(AND(E47="Prevalentemente",E48&lt;=0),"Il valore fornito deve essere maggiore di zero",""))</f>
        <v/>
      </c>
      <c r="J48" s="28"/>
      <c r="K48" s="40">
        <f t="shared" si="2"/>
        <v>0</v>
      </c>
      <c r="L48" s="40">
        <f t="shared" si="3"/>
        <v>0</v>
      </c>
    </row>
    <row r="49" spans="1:12" ht="61.5" customHeight="1" x14ac:dyDescent="0.25">
      <c r="A49" s="177"/>
      <c r="B49" s="164" t="s">
        <v>565</v>
      </c>
      <c r="C49" s="114" t="s">
        <v>28</v>
      </c>
      <c r="D49" s="177"/>
      <c r="E49" s="450"/>
      <c r="F49" s="348"/>
      <c r="G49" s="28"/>
      <c r="H49" s="225"/>
      <c r="I49" s="377"/>
      <c r="J49" s="28"/>
      <c r="K49" s="40">
        <f t="shared" si="2"/>
        <v>0</v>
      </c>
      <c r="L49" s="40">
        <f t="shared" si="3"/>
        <v>0</v>
      </c>
    </row>
    <row r="50" spans="1:12" ht="25.35" customHeight="1" x14ac:dyDescent="0.25">
      <c r="A50" s="289" t="s">
        <v>566</v>
      </c>
      <c r="B50" s="165" t="s">
        <v>567</v>
      </c>
      <c r="C50" s="452" t="s">
        <v>167</v>
      </c>
      <c r="D50" s="183"/>
      <c r="E50" s="369"/>
      <c r="F50" s="348"/>
      <c r="G50" s="28"/>
      <c r="H50" s="617" t="str">
        <f>IF(AND(D47&lt;&gt;"Prevalentemente",OR(D50&gt;0,D50&lt;0)),"Il numero di utenti va fornito se la risposta a Gest_SII è 'Prevalentemente'",IF(AND(D47="Prevalentemente",D50&lt;=0),"Il valore fornito deve essere maggiore di zero",""))</f>
        <v/>
      </c>
      <c r="I50" s="618" t="str">
        <f>IF(AND(E47&lt;&gt;"Prevalentemente",OR(E50&gt;0,E50&lt;0)),"Il numero di utenti va fornito se la risposta a Gest_SII è 'Prevalentemente'",IF(AND(E47="Prevalentemente",E50&lt;=0),"Il valore fornito deve essere maggiore di zero",""))</f>
        <v/>
      </c>
      <c r="J50" s="28"/>
      <c r="K50" s="40">
        <f t="shared" si="2"/>
        <v>0</v>
      </c>
      <c r="L50" s="40">
        <f t="shared" si="3"/>
        <v>0</v>
      </c>
    </row>
    <row r="51" spans="1:12" ht="25.35" customHeight="1" x14ac:dyDescent="0.25">
      <c r="A51" s="289" t="s">
        <v>568</v>
      </c>
      <c r="B51" s="165" t="s">
        <v>569</v>
      </c>
      <c r="C51" s="452" t="s">
        <v>167</v>
      </c>
      <c r="D51" s="183"/>
      <c r="E51" s="369"/>
      <c r="F51" s="348"/>
      <c r="G51" s="28"/>
      <c r="H51" s="617" t="str">
        <f>IF(AND(D47&lt;&gt;"Prevalentemente",OR(D51&gt;0,D51&lt;0)),"Il numero di utenti va fornito se la risposta a Gest_SII è 'Prevalentemente'",IF(AND(D47="Prevalentemente",D51&lt;=0),"Il valore fornito deve essere maggiore di zero",""))</f>
        <v/>
      </c>
      <c r="I51" s="618" t="str">
        <f>IF(AND(E47&lt;&gt;"Prevalentemente",OR(E51&gt;0,E51&lt;0)),"Il numero di utenti va fornito se la risposta a Gest_SII è 'Prevalentemente'",IF(AND(E47="Prevalentemente",E51&lt;=0),"Il valore fornito deve essere maggiore di zero",""))</f>
        <v/>
      </c>
      <c r="J51" s="28"/>
      <c r="K51" s="40">
        <f t="shared" si="2"/>
        <v>0</v>
      </c>
      <c r="L51" s="40">
        <f t="shared" si="3"/>
        <v>0</v>
      </c>
    </row>
    <row r="52" spans="1:12" ht="32.1" customHeight="1" x14ac:dyDescent="0.25">
      <c r="A52" s="444" t="s">
        <v>570</v>
      </c>
      <c r="B52" s="162" t="s">
        <v>571</v>
      </c>
      <c r="C52" s="445" t="s">
        <v>68</v>
      </c>
      <c r="D52" s="178">
        <f>IF(D47="NO",0,IF(AND(D47="SI",'QT-Acquedotto'!D66&gt;0,D46&gt;0),D46/'QT-Acquedotto'!D66,IF(AND(D47="Prevalentemente",D50&gt;0,D51&gt;0),D51/D50,0)))</f>
        <v>0.89235464943993359</v>
      </c>
      <c r="E52" s="341">
        <f>IF(E47="NO",0,IF(AND(E47="SI",'QT-Acquedotto'!E66&gt;0,E46&gt;0),E46/'QT-Acquedotto'!E66,IF(AND(E47="Prevalentemente",E50&gt;0,E51&gt;0),E51/E50,0)))</f>
        <v>0.88687323211744351</v>
      </c>
      <c r="F52" s="348" t="s">
        <v>572</v>
      </c>
      <c r="G52" s="28"/>
      <c r="H52" s="225"/>
      <c r="I52" s="377"/>
      <c r="J52" s="28"/>
      <c r="K52" s="40">
        <f t="shared" si="2"/>
        <v>0</v>
      </c>
      <c r="L52" s="40">
        <f t="shared" si="3"/>
        <v>0</v>
      </c>
    </row>
    <row r="53" spans="1:12" ht="32.1" customHeight="1" x14ac:dyDescent="0.25">
      <c r="A53" s="289" t="s">
        <v>573</v>
      </c>
      <c r="B53" s="164" t="s">
        <v>574</v>
      </c>
      <c r="C53" s="452" t="s">
        <v>575</v>
      </c>
      <c r="D53" s="183">
        <v>973.94325021496127</v>
      </c>
      <c r="E53" s="369"/>
      <c r="F53" s="348" t="s">
        <v>576</v>
      </c>
      <c r="G53" s="28"/>
      <c r="H53" s="617" t="str">
        <f>IF(D53&lt;0,"Il valore deve essere maggiore o uguale a zero","")</f>
        <v/>
      </c>
      <c r="I53" s="618" t="str">
        <f>IF(E53&lt;0,"Il valore deve essere maggiore o uguale a zero","")</f>
        <v/>
      </c>
      <c r="J53" s="28"/>
      <c r="K53" s="40">
        <f t="shared" si="2"/>
        <v>0</v>
      </c>
      <c r="L53" s="40">
        <f t="shared" si="3"/>
        <v>0</v>
      </c>
    </row>
    <row r="54" spans="1:12" ht="25.35" customHeight="1" x14ac:dyDescent="0.25">
      <c r="A54" s="289" t="s">
        <v>577</v>
      </c>
      <c r="B54" s="166" t="s">
        <v>487</v>
      </c>
      <c r="C54" s="452" t="s">
        <v>575</v>
      </c>
      <c r="D54" s="183">
        <v>0</v>
      </c>
      <c r="E54" s="369">
        <v>0</v>
      </c>
      <c r="F54" s="348"/>
      <c r="G54" s="28"/>
      <c r="H54" s="617" t="str">
        <f>IF(OR(D54&lt;0,D54&gt;D53),"Il valore deve essere maggiore o uguale a zero e minore di EN_dep","")</f>
        <v/>
      </c>
      <c r="I54" s="618" t="str">
        <f>IF(OR(E54&lt;0,E54&gt;E53),"Il valore deve essere maggiore o uguale a zero e minore di EN_dep","")</f>
        <v/>
      </c>
      <c r="J54" s="28"/>
      <c r="K54" s="40">
        <f t="shared" si="2"/>
        <v>0</v>
      </c>
      <c r="L54" s="40">
        <f t="shared" si="3"/>
        <v>0</v>
      </c>
    </row>
    <row r="55" spans="1:12" ht="32.1" customHeight="1" x14ac:dyDescent="0.25">
      <c r="A55" s="289" t="s">
        <v>578</v>
      </c>
      <c r="B55" s="164" t="s">
        <v>579</v>
      </c>
      <c r="C55" s="452" t="s">
        <v>575</v>
      </c>
      <c r="D55" s="183"/>
      <c r="E55" s="369">
        <v>14.62</v>
      </c>
      <c r="F55" s="348" t="s">
        <v>576</v>
      </c>
      <c r="G55" s="28"/>
      <c r="H55" s="617" t="str">
        <f>IF(D55&lt;0,"Il valore deve essere maggiore o uguale a zero","")</f>
        <v/>
      </c>
      <c r="I55" s="618" t="str">
        <f>IF(E55&lt;0,"Il valore deve essere maggiore o uguale a zero","")</f>
        <v/>
      </c>
      <c r="J55" s="28"/>
      <c r="K55" s="40">
        <f t="shared" si="2"/>
        <v>0</v>
      </c>
      <c r="L55" s="40">
        <f t="shared" si="3"/>
        <v>0</v>
      </c>
    </row>
    <row r="56" spans="1:12" ht="32.1" customHeight="1" thickBot="1" x14ac:dyDescent="0.3">
      <c r="A56" s="453" t="s">
        <v>580</v>
      </c>
      <c r="B56" s="446" t="s">
        <v>581</v>
      </c>
      <c r="C56" s="447" t="s">
        <v>582</v>
      </c>
      <c r="D56" s="179"/>
      <c r="E56" s="451"/>
      <c r="F56" s="349" t="s">
        <v>583</v>
      </c>
      <c r="G56" s="28"/>
      <c r="H56" s="211" t="str">
        <f>IF(D56&lt;0,"Il valore deve essere maggiore o uguale a zero","")</f>
        <v/>
      </c>
      <c r="I56" s="375" t="str">
        <f>IF(E56&lt;0,"Il valore deve essere maggiore o uguale a zero","")</f>
        <v/>
      </c>
      <c r="J56" s="28"/>
      <c r="K56" s="40">
        <f t="shared" si="2"/>
        <v>0</v>
      </c>
      <c r="L56" s="40">
        <f t="shared" si="3"/>
        <v>0</v>
      </c>
    </row>
    <row r="57" spans="1:12" ht="10.5" customHeight="1" x14ac:dyDescent="0.25">
      <c r="A57" s="82"/>
      <c r="B57" s="83"/>
      <c r="C57" s="84"/>
      <c r="D57" s="85"/>
      <c r="E57" s="85"/>
      <c r="F57" s="86"/>
      <c r="G57" s="86"/>
      <c r="H57" s="129"/>
      <c r="I57" s="129"/>
      <c r="J57" s="86"/>
      <c r="K57" s="40">
        <f t="shared" si="2"/>
        <v>0</v>
      </c>
      <c r="L57" s="40">
        <f t="shared" si="3"/>
        <v>0</v>
      </c>
    </row>
    <row r="58" spans="1:12" ht="18" thickBot="1" x14ac:dyDescent="0.3">
      <c r="A58" s="45" t="s">
        <v>584</v>
      </c>
      <c r="B58" s="83"/>
      <c r="C58" s="84"/>
      <c r="D58" s="85"/>
      <c r="E58" s="85"/>
      <c r="F58" s="86"/>
      <c r="G58" s="86"/>
      <c r="H58" s="125"/>
      <c r="I58" s="125"/>
      <c r="J58" s="86"/>
      <c r="K58" s="40">
        <f t="shared" si="2"/>
        <v>0</v>
      </c>
      <c r="L58" s="40">
        <f t="shared" si="3"/>
        <v>0</v>
      </c>
    </row>
    <row r="59" spans="1:12" ht="45" x14ac:dyDescent="0.25">
      <c r="A59" s="88" t="s">
        <v>490</v>
      </c>
      <c r="B59" s="604" t="s">
        <v>491</v>
      </c>
      <c r="C59" s="48" t="s">
        <v>167</v>
      </c>
      <c r="D59" s="11">
        <f>D15</f>
        <v>0</v>
      </c>
      <c r="E59" s="389">
        <f>E15</f>
        <v>0</v>
      </c>
      <c r="F59" s="408"/>
      <c r="G59" s="126"/>
      <c r="H59" s="220"/>
      <c r="I59" s="376"/>
      <c r="J59" s="126"/>
      <c r="K59" s="40">
        <f t="shared" si="2"/>
        <v>0</v>
      </c>
      <c r="L59" s="40">
        <f t="shared" si="3"/>
        <v>0</v>
      </c>
    </row>
    <row r="60" spans="1:12" ht="45" customHeight="1" x14ac:dyDescent="0.25">
      <c r="A60" s="412" t="s">
        <v>492</v>
      </c>
      <c r="B60" s="605" t="s">
        <v>493</v>
      </c>
      <c r="C60" s="112" t="s">
        <v>397</v>
      </c>
      <c r="D60" s="180">
        <f>D16</f>
        <v>0</v>
      </c>
      <c r="E60" s="371">
        <f>E16</f>
        <v>0</v>
      </c>
      <c r="F60" s="409"/>
      <c r="G60" s="126"/>
      <c r="H60" s="210"/>
      <c r="I60" s="374"/>
      <c r="J60" s="126"/>
      <c r="K60" s="40">
        <f t="shared" si="2"/>
        <v>0</v>
      </c>
      <c r="L60" s="40">
        <f t="shared" si="3"/>
        <v>0</v>
      </c>
    </row>
    <row r="61" spans="1:12" ht="45" customHeight="1" x14ac:dyDescent="0.25">
      <c r="A61" s="107" t="s">
        <v>585</v>
      </c>
      <c r="B61" s="108" t="s">
        <v>495</v>
      </c>
      <c r="C61" s="114" t="s">
        <v>28</v>
      </c>
      <c r="D61" s="181" t="str">
        <f>IF(D3="SI",IF(OR(D59&gt;0,D60&gt;0,AND(D59="",D60="")),"NO","SI"),"")</f>
        <v>SI</v>
      </c>
      <c r="E61" s="411" t="str">
        <f>IF(E3="SI",IF(OR(E59&gt;0,E60&gt;0,AND(E59="",E60="")),"NO","SI"),"")</f>
        <v>SI</v>
      </c>
      <c r="F61" s="611" t="s">
        <v>400</v>
      </c>
      <c r="G61" s="126"/>
      <c r="H61" s="617" t="str">
        <f>IF(AND(D$3="SI",D61="NO"),"Attenzione, prerequisito mancante","")</f>
        <v/>
      </c>
      <c r="I61" s="618" t="str">
        <f>IF(AND(E$3="SI",E61="NO"),"Attenzione, prerequisito mancante","")</f>
        <v/>
      </c>
      <c r="J61" s="126"/>
      <c r="K61" s="40">
        <f t="shared" si="2"/>
        <v>0</v>
      </c>
      <c r="L61" s="40">
        <f t="shared" si="3"/>
        <v>0</v>
      </c>
    </row>
    <row r="62" spans="1:12" ht="45" x14ac:dyDescent="0.25">
      <c r="A62" s="107" t="s">
        <v>586</v>
      </c>
      <c r="B62" s="71" t="s">
        <v>587</v>
      </c>
      <c r="C62" s="50" t="s">
        <v>28</v>
      </c>
      <c r="D62" s="182" t="s">
        <v>82</v>
      </c>
      <c r="E62" s="426" t="s">
        <v>82</v>
      </c>
      <c r="F62" s="348" t="s">
        <v>83</v>
      </c>
      <c r="G62" s="126"/>
      <c r="H62" s="617" t="str">
        <f>IF(AND(D3="SI",OR(D62="Non adeguato",D62="")),"Attenzione, prerequisito mancante","")</f>
        <v/>
      </c>
      <c r="I62" s="618" t="str">
        <f>IF(AND(E3="SI",OR(E62="Non adeguato",E62="")),"Attenzione, prerequisito mancante","")</f>
        <v/>
      </c>
      <c r="J62" s="126"/>
      <c r="K62" s="40">
        <f t="shared" si="2"/>
        <v>0</v>
      </c>
      <c r="L62" s="40">
        <f t="shared" si="3"/>
        <v>0</v>
      </c>
    </row>
    <row r="63" spans="1:12" ht="45" customHeight="1" thickBot="1" x14ac:dyDescent="0.3">
      <c r="A63" s="110" t="s">
        <v>588</v>
      </c>
      <c r="B63" s="111" t="s">
        <v>589</v>
      </c>
      <c r="C63" s="115" t="s">
        <v>28</v>
      </c>
      <c r="D63" s="119"/>
      <c r="E63" s="352"/>
      <c r="F63" s="349" t="s">
        <v>268</v>
      </c>
      <c r="G63" s="98"/>
      <c r="H63" s="226"/>
      <c r="I63" s="427"/>
      <c r="J63" s="98"/>
      <c r="K63" s="40">
        <f t="shared" ref="K63:K88" si="4">IF(H63="",0,1)</f>
        <v>0</v>
      </c>
      <c r="L63" s="40">
        <f t="shared" ref="L63:L88" si="5">IF(I63="",0,1)</f>
        <v>0</v>
      </c>
    </row>
    <row r="64" spans="1:12" ht="10.5" customHeight="1" x14ac:dyDescent="0.25">
      <c r="A64" s="45"/>
      <c r="B64" s="83"/>
      <c r="C64" s="84"/>
      <c r="D64" s="85"/>
      <c r="E64" s="85"/>
      <c r="F64" s="86"/>
      <c r="G64" s="86"/>
      <c r="H64" s="129"/>
      <c r="I64" s="129"/>
      <c r="J64" s="86"/>
      <c r="K64" s="40">
        <f t="shared" si="4"/>
        <v>0</v>
      </c>
      <c r="L64" s="40">
        <f t="shared" si="5"/>
        <v>0</v>
      </c>
    </row>
    <row r="65" spans="1:12" ht="18" thickBot="1" x14ac:dyDescent="0.3">
      <c r="A65" s="45" t="s">
        <v>590</v>
      </c>
      <c r="B65" s="83"/>
      <c r="C65" s="84"/>
      <c r="D65" s="85"/>
      <c r="E65" s="85"/>
      <c r="F65" s="86"/>
      <c r="G65" s="86"/>
      <c r="H65" s="129"/>
      <c r="I65" s="129"/>
      <c r="J65" s="86"/>
      <c r="K65" s="40">
        <f t="shared" si="4"/>
        <v>0</v>
      </c>
      <c r="L65" s="40">
        <f t="shared" si="5"/>
        <v>0</v>
      </c>
    </row>
    <row r="66" spans="1:12" ht="32.1" customHeight="1" x14ac:dyDescent="0.25">
      <c r="A66" s="130" t="s">
        <v>591</v>
      </c>
      <c r="B66" s="69" t="s">
        <v>592</v>
      </c>
      <c r="C66" s="128" t="s">
        <v>167</v>
      </c>
      <c r="D66" s="12">
        <v>432</v>
      </c>
      <c r="E66" s="439">
        <v>434</v>
      </c>
      <c r="F66" s="347"/>
      <c r="G66" s="28"/>
      <c r="H66" s="212" t="str">
        <f>IF(D3="SI",IF(OR(D66&lt;=0,D66=""),"Il valore deve essere maggiore di zero",""),IF(D66&lt;&gt;"","Non risulta gestito il servizio di depurazione",""))</f>
        <v/>
      </c>
      <c r="I66" s="372" t="str">
        <f>IF(E3="SI",IF(OR(E66&lt;=0,E66=""),"Il valore deve essere maggiore di zero",""),IF(E66&lt;&gt;"","Non risulta gestito il servizio di depurazione",""))</f>
        <v/>
      </c>
      <c r="J66" s="28"/>
      <c r="K66" s="40">
        <f t="shared" si="4"/>
        <v>0</v>
      </c>
      <c r="L66" s="40">
        <f t="shared" si="5"/>
        <v>0</v>
      </c>
    </row>
    <row r="67" spans="1:12" ht="25.35" customHeight="1" x14ac:dyDescent="0.25">
      <c r="A67" s="296" t="s">
        <v>593</v>
      </c>
      <c r="B67" s="155" t="s">
        <v>594</v>
      </c>
      <c r="C67" s="235" t="s">
        <v>167</v>
      </c>
      <c r="D67" s="183">
        <v>32</v>
      </c>
      <c r="E67" s="369">
        <v>32</v>
      </c>
      <c r="F67" s="348"/>
      <c r="G67" s="28"/>
      <c r="H67" s="617" t="str">
        <f>IF(OR(D67&lt;0,D67&gt;D66),"Il valore deve essere maggiore o uguale a zero e minore o uguale a Ndep","")</f>
        <v/>
      </c>
      <c r="I67" s="618" t="str">
        <f>IF(OR(E67&lt;0,E67&gt;E66),"Il valore deve essere maggiore o uguale a zero e minore o uguale a Ndep","")</f>
        <v/>
      </c>
      <c r="J67" s="28"/>
      <c r="K67" s="40">
        <f t="shared" si="4"/>
        <v>0</v>
      </c>
      <c r="L67" s="40">
        <f t="shared" si="5"/>
        <v>0</v>
      </c>
    </row>
    <row r="68" spans="1:12" ht="30.75" customHeight="1" x14ac:dyDescent="0.25">
      <c r="A68" s="296" t="s">
        <v>595</v>
      </c>
      <c r="B68" s="161" t="s">
        <v>596</v>
      </c>
      <c r="C68" s="235" t="s">
        <v>167</v>
      </c>
      <c r="D68" s="183">
        <v>0</v>
      </c>
      <c r="E68" s="369">
        <v>0</v>
      </c>
      <c r="F68" s="438"/>
      <c r="G68" s="28"/>
      <c r="H68" s="617" t="str">
        <f>IF(OR(D68&lt;0,D68&gt;D67),"Il valore deve essere maggiore o uguale a zero e minore o uguale a Ndep_2000","")</f>
        <v/>
      </c>
      <c r="I68" s="618" t="str">
        <f>IF(OR(E68&lt;0,E68&gt;E67),"Il valore deve essere maggiore o uguale a zero e minore o uguale a Ndep_2000","")</f>
        <v/>
      </c>
      <c r="J68" s="28"/>
      <c r="K68" s="40">
        <f t="shared" si="4"/>
        <v>0</v>
      </c>
      <c r="L68" s="40">
        <f t="shared" si="5"/>
        <v>0</v>
      </c>
    </row>
    <row r="69" spans="1:12" ht="32.1" customHeight="1" x14ac:dyDescent="0.25">
      <c r="A69" s="280" t="s">
        <v>597</v>
      </c>
      <c r="B69" s="167" t="s">
        <v>598</v>
      </c>
      <c r="C69" s="235" t="s">
        <v>167</v>
      </c>
      <c r="D69" s="175">
        <v>26</v>
      </c>
      <c r="E69" s="401">
        <f>IF(E67-E68&lt;0,"",E67-E68)</f>
        <v>32</v>
      </c>
      <c r="F69" s="348" t="s">
        <v>599</v>
      </c>
      <c r="G69" s="28"/>
      <c r="H69" s="227"/>
      <c r="I69" s="436"/>
      <c r="J69" s="28"/>
      <c r="K69" s="40">
        <f t="shared" si="4"/>
        <v>0</v>
      </c>
      <c r="L69" s="40">
        <f t="shared" si="5"/>
        <v>0</v>
      </c>
    </row>
    <row r="70" spans="1:12" ht="45" customHeight="1" x14ac:dyDescent="0.25">
      <c r="A70" s="280" t="s">
        <v>600</v>
      </c>
      <c r="B70" s="168" t="s">
        <v>601</v>
      </c>
      <c r="C70" s="235" t="s">
        <v>167</v>
      </c>
      <c r="D70" s="183">
        <v>4</v>
      </c>
      <c r="E70" s="369">
        <v>4</v>
      </c>
      <c r="F70" s="348" t="s">
        <v>602</v>
      </c>
      <c r="G70" s="28"/>
      <c r="H70" s="617" t="str">
        <f>IF(OR(D70&lt;0,D70&gt;D69),"Il valore deve essere maggiore o uguale a zero e minore o uguale a N*","")</f>
        <v/>
      </c>
      <c r="I70" s="618" t="str">
        <f>IF(OR(E70&lt;0,E70&gt;E69),"Il valore deve essere maggiore o uguale a zero e minore o uguale a N*","")</f>
        <v/>
      </c>
      <c r="J70" s="28"/>
      <c r="K70" s="40">
        <f t="shared" si="4"/>
        <v>0</v>
      </c>
      <c r="L70" s="40">
        <f t="shared" si="5"/>
        <v>0</v>
      </c>
    </row>
    <row r="71" spans="1:12" ht="32.1" customHeight="1" x14ac:dyDescent="0.25">
      <c r="A71" s="280" t="s">
        <v>603</v>
      </c>
      <c r="B71" s="168" t="s">
        <v>604</v>
      </c>
      <c r="C71" s="235" t="s">
        <v>167</v>
      </c>
      <c r="D71" s="183">
        <v>0</v>
      </c>
      <c r="E71" s="369">
        <v>0</v>
      </c>
      <c r="F71" s="348" t="s">
        <v>605</v>
      </c>
      <c r="G71" s="28"/>
      <c r="H71" s="617" t="str">
        <f>IF(OR(D71&lt;0,D71&gt;D69),"Il valore deve essere maggiore o uguale a zero e minore o uguale a N*","")</f>
        <v/>
      </c>
      <c r="I71" s="618" t="str">
        <f>IF(OR(E71&lt;0,E71&gt;E69),"Il valore deve essere maggiore o uguale a zero e minore o uguale a N*","")</f>
        <v/>
      </c>
      <c r="J71" s="28"/>
      <c r="K71" s="40">
        <f t="shared" si="4"/>
        <v>0</v>
      </c>
      <c r="L71" s="40">
        <f t="shared" si="5"/>
        <v>0</v>
      </c>
    </row>
    <row r="72" spans="1:12" ht="32.1" customHeight="1" x14ac:dyDescent="0.25">
      <c r="A72" s="280" t="s">
        <v>606</v>
      </c>
      <c r="B72" s="168" t="s">
        <v>607</v>
      </c>
      <c r="C72" s="235" t="s">
        <v>167</v>
      </c>
      <c r="D72" s="183">
        <v>26</v>
      </c>
      <c r="E72" s="369">
        <v>24</v>
      </c>
      <c r="F72" s="348"/>
      <c r="G72" s="28"/>
      <c r="H72" s="617" t="str">
        <f>IF(OR(D72&lt;0,D72&gt;D69),"Il valore deve essere maggiore o uguale a zero e minore o uguale a N*","")</f>
        <v/>
      </c>
      <c r="I72" s="618" t="str">
        <f>IF(OR(E72&lt;0,E72&gt;E69),"Il valore deve essere maggiore o uguale a zero e minore o uguale a N*","")</f>
        <v/>
      </c>
      <c r="J72" s="28"/>
      <c r="K72" s="40">
        <f t="shared" si="4"/>
        <v>0</v>
      </c>
      <c r="L72" s="40">
        <f t="shared" si="5"/>
        <v>0</v>
      </c>
    </row>
    <row r="73" spans="1:12" ht="60.75" customHeight="1" x14ac:dyDescent="0.25">
      <c r="A73" s="289" t="s">
        <v>608</v>
      </c>
      <c r="B73" s="143" t="s">
        <v>609</v>
      </c>
      <c r="C73" s="235" t="s">
        <v>167</v>
      </c>
      <c r="D73" s="183">
        <v>403</v>
      </c>
      <c r="E73" s="369">
        <v>394</v>
      </c>
      <c r="F73" s="348" t="s">
        <v>610</v>
      </c>
      <c r="G73" s="98"/>
      <c r="H73" s="617" t="str">
        <f>IF(D3="SI",IF(OR(D73&lt;0,D73=""),"Il valore deve essere maggiore o uguale a zero",""),IF(D73&lt;&gt;"","Non risulta gestito il servizio di depurazione",""))</f>
        <v/>
      </c>
      <c r="I73" s="618" t="str">
        <f>IF(E3="SI",IF(OR(E73&lt;0,E73=""),"Il valore deve essere maggiore o uguale a zero",""),IF(E73&lt;&gt;"","Non risulta gestito il servizio di depurazione",""))</f>
        <v/>
      </c>
      <c r="J73" s="98"/>
      <c r="K73" s="40">
        <f t="shared" si="4"/>
        <v>0</v>
      </c>
      <c r="L73" s="40">
        <f t="shared" si="5"/>
        <v>0</v>
      </c>
    </row>
    <row r="74" spans="1:12" ht="77.099999999999994" customHeight="1" x14ac:dyDescent="0.25">
      <c r="A74" s="289" t="s">
        <v>611</v>
      </c>
      <c r="B74" s="143" t="s">
        <v>612</v>
      </c>
      <c r="C74" s="235" t="s">
        <v>167</v>
      </c>
      <c r="D74" s="183">
        <v>27</v>
      </c>
      <c r="E74" s="369">
        <v>20</v>
      </c>
      <c r="F74" s="348" t="s">
        <v>613</v>
      </c>
      <c r="G74" s="98"/>
      <c r="H74" s="617" t="str">
        <f>IF(OR(D74&lt;0,D74&gt;D73,AND(D69&gt;0,D74="")),"Il valore deve essere maggiore o uguale a zero e minore o uguale a ∑Cimp,DEP-tot","")</f>
        <v/>
      </c>
      <c r="I74" s="618" t="str">
        <f>IF(OR(E74&lt;0,E74&gt;E73,AND(E69&gt;0,E74="")),"Il valore deve essere maggiore o uguale a zero e minore o uguale a ∑Cimp,DEP-tot","")</f>
        <v/>
      </c>
      <c r="J74" s="98"/>
      <c r="K74" s="40">
        <f t="shared" si="4"/>
        <v>0</v>
      </c>
      <c r="L74" s="40">
        <f t="shared" si="5"/>
        <v>0</v>
      </c>
    </row>
    <row r="75" spans="1:12" ht="38.25" x14ac:dyDescent="0.25">
      <c r="A75" s="289" t="s">
        <v>614</v>
      </c>
      <c r="B75" s="155" t="s">
        <v>615</v>
      </c>
      <c r="C75" s="235" t="s">
        <v>167</v>
      </c>
      <c r="D75" s="183">
        <v>4</v>
      </c>
      <c r="E75" s="369">
        <v>2</v>
      </c>
      <c r="F75" s="348" t="s">
        <v>616</v>
      </c>
      <c r="G75" s="98"/>
      <c r="H75" s="662" t="str">
        <f>IF(OR(D75&lt;&gt;"",D76&lt;&gt;"",D77&lt;&gt;"",D78&lt;&gt;""),IF(OR(D75&lt;0,D76&lt;0,D77&lt;0,D78&lt;0,D78+D77+D76+D75&lt;&gt;D74),"Ogni di cui deve essere maggiore o uguale a zero e la somma deve essere pari a ∑Cimp,DEP-cnc",""),"")</f>
        <v/>
      </c>
      <c r="I75" s="664" t="str">
        <f>IF(OR(E75&lt;&gt;"",E76&lt;&gt;"",E77&lt;&gt;"",E78&lt;&gt;""),IF(OR(E75&lt;0,E76&lt;0,E77&lt;0,E78&lt;0,E78+E77+E76+E75&lt;&gt;E74),"Ogni di cui deve essere maggiore o uguale a zero e la somma deve essere pari a ∑Cimp,DEP-cnc",""),"")</f>
        <v/>
      </c>
      <c r="J75" s="98"/>
      <c r="K75" s="40">
        <f t="shared" si="4"/>
        <v>0</v>
      </c>
      <c r="L75" s="40">
        <f t="shared" si="5"/>
        <v>0</v>
      </c>
    </row>
    <row r="76" spans="1:12" ht="45" customHeight="1" x14ac:dyDescent="0.25">
      <c r="A76" s="289" t="s">
        <v>617</v>
      </c>
      <c r="B76" s="155" t="s">
        <v>618</v>
      </c>
      <c r="C76" s="235" t="s">
        <v>167</v>
      </c>
      <c r="D76" s="183">
        <v>23</v>
      </c>
      <c r="E76" s="369">
        <v>18</v>
      </c>
      <c r="F76" s="348" t="s">
        <v>619</v>
      </c>
      <c r="G76" s="98"/>
      <c r="H76" s="666"/>
      <c r="I76" s="667"/>
      <c r="J76" s="98"/>
      <c r="K76" s="40">
        <f t="shared" si="4"/>
        <v>0</v>
      </c>
      <c r="L76" s="40">
        <f t="shared" si="5"/>
        <v>0</v>
      </c>
    </row>
    <row r="77" spans="1:12" ht="55.35" customHeight="1" x14ac:dyDescent="0.25">
      <c r="A77" s="289" t="s">
        <v>620</v>
      </c>
      <c r="B77" s="155" t="s">
        <v>621</v>
      </c>
      <c r="C77" s="235" t="s">
        <v>167</v>
      </c>
      <c r="D77" s="183">
        <v>0</v>
      </c>
      <c r="E77" s="369">
        <v>0</v>
      </c>
      <c r="F77" s="348" t="s">
        <v>622</v>
      </c>
      <c r="G77" s="98"/>
      <c r="H77" s="666"/>
      <c r="I77" s="667"/>
      <c r="J77" s="98"/>
      <c r="K77" s="40">
        <f t="shared" si="4"/>
        <v>0</v>
      </c>
      <c r="L77" s="40">
        <f t="shared" si="5"/>
        <v>0</v>
      </c>
    </row>
    <row r="78" spans="1:12" ht="34.5" customHeight="1" x14ac:dyDescent="0.25">
      <c r="A78" s="289" t="s">
        <v>623</v>
      </c>
      <c r="B78" s="155" t="s">
        <v>624</v>
      </c>
      <c r="C78" s="235" t="s">
        <v>167</v>
      </c>
      <c r="D78" s="183">
        <v>0</v>
      </c>
      <c r="E78" s="369">
        <v>0</v>
      </c>
      <c r="F78" s="348"/>
      <c r="G78" s="98"/>
      <c r="H78" s="663"/>
      <c r="I78" s="665"/>
      <c r="J78" s="98"/>
      <c r="K78" s="40">
        <f t="shared" si="4"/>
        <v>0</v>
      </c>
      <c r="L78" s="40">
        <f t="shared" si="5"/>
        <v>0</v>
      </c>
    </row>
    <row r="79" spans="1:12" ht="30" customHeight="1" x14ac:dyDescent="0.25">
      <c r="A79" s="246" t="s">
        <v>625</v>
      </c>
      <c r="B79" s="163" t="s">
        <v>626</v>
      </c>
      <c r="C79" s="443" t="s">
        <v>68</v>
      </c>
      <c r="D79" s="172">
        <f t="shared" ref="D79:E79" si="6">IF(AND(D73&gt;0,D74&lt;=D73,D74&lt;&gt;"",D74&gt;=0),D74/D73,"")</f>
        <v>6.699751861042183E-2</v>
      </c>
      <c r="E79" s="440">
        <f t="shared" si="6"/>
        <v>5.0761421319796954E-2</v>
      </c>
      <c r="F79" s="348" t="s">
        <v>627</v>
      </c>
      <c r="G79" s="98"/>
      <c r="H79" s="617" t="str">
        <f>IF(AND(D3="SI",D79=""),"Macro-indicatore non calcolabile","")</f>
        <v/>
      </c>
      <c r="I79" s="618" t="str">
        <f>IF(AND(E3="SI",E79=""),"Macro-indicatore non calcolabile","")</f>
        <v/>
      </c>
      <c r="J79" s="98"/>
      <c r="K79" s="40">
        <f t="shared" si="4"/>
        <v>0</v>
      </c>
      <c r="L79" s="40">
        <f t="shared" si="5"/>
        <v>0</v>
      </c>
    </row>
    <row r="80" spans="1:12" ht="30" customHeight="1" x14ac:dyDescent="0.25">
      <c r="A80" s="444" t="s">
        <v>628</v>
      </c>
      <c r="B80" s="162" t="s">
        <v>629</v>
      </c>
      <c r="C80" s="445" t="s">
        <v>28</v>
      </c>
      <c r="D80" s="184" t="str">
        <f t="shared" ref="D80:E80" si="7">IF(D79="","",IF(D79&gt;=(10/100),"D",IF(D79&gt;=(5/100),"C",IF(D79&gt;=(1/100),"B","A"))))</f>
        <v>C</v>
      </c>
      <c r="E80" s="27" t="str">
        <f t="shared" si="7"/>
        <v>C</v>
      </c>
      <c r="F80" s="386"/>
      <c r="G80" s="98"/>
      <c r="H80" s="225"/>
      <c r="I80" s="377"/>
      <c r="J80" s="98"/>
      <c r="K80" s="40">
        <f t="shared" si="4"/>
        <v>0</v>
      </c>
      <c r="L80" s="40">
        <f t="shared" si="5"/>
        <v>0</v>
      </c>
    </row>
    <row r="81" spans="1:12" ht="30" customHeight="1" x14ac:dyDescent="0.25">
      <c r="A81" s="444" t="s">
        <v>630</v>
      </c>
      <c r="B81" s="162" t="s">
        <v>631</v>
      </c>
      <c r="C81" s="445" t="s">
        <v>28</v>
      </c>
      <c r="D81" s="184" t="str">
        <f t="shared" ref="D81:E81" si="8">IF(D80="A","Mantenimento",IF(D80="B","-10% di M6",IF(D80="C","-15% di M6",IF(D80="D","-20% di M6",""))))</f>
        <v>-15% di M6</v>
      </c>
      <c r="E81" s="27" t="str">
        <f t="shared" si="8"/>
        <v>-15% di M6</v>
      </c>
      <c r="F81" s="386"/>
      <c r="G81" s="98"/>
      <c r="H81" s="225"/>
      <c r="I81" s="377"/>
      <c r="J81" s="98"/>
      <c r="K81" s="40">
        <f t="shared" si="4"/>
        <v>0</v>
      </c>
      <c r="L81" s="40">
        <f t="shared" si="5"/>
        <v>0</v>
      </c>
    </row>
    <row r="82" spans="1:12" ht="60" x14ac:dyDescent="0.25">
      <c r="A82" s="289" t="s">
        <v>632</v>
      </c>
      <c r="B82" s="143" t="s">
        <v>633</v>
      </c>
      <c r="C82" s="235" t="s">
        <v>167</v>
      </c>
      <c r="D82" s="183">
        <v>403</v>
      </c>
      <c r="E82" s="369">
        <v>394</v>
      </c>
      <c r="F82" s="348" t="s">
        <v>634</v>
      </c>
      <c r="G82" s="98"/>
      <c r="H82" s="617" t="str">
        <f>IF(D82&lt;D73,"Il valore deve essere maggiore o uguale a ∑Cimp,DEP-tot","")</f>
        <v/>
      </c>
      <c r="I82" s="618" t="str">
        <f>IF(E82&lt;E73,"Il valore deve essere maggiore o uguale a ∑Cimp,DEP-tot","")</f>
        <v/>
      </c>
      <c r="J82" s="98"/>
      <c r="K82" s="40">
        <f t="shared" si="4"/>
        <v>0</v>
      </c>
      <c r="L82" s="40">
        <f t="shared" si="5"/>
        <v>0</v>
      </c>
    </row>
    <row r="83" spans="1:12" ht="78" customHeight="1" x14ac:dyDescent="0.25">
      <c r="A83" s="289" t="s">
        <v>635</v>
      </c>
      <c r="B83" s="143" t="s">
        <v>636</v>
      </c>
      <c r="C83" s="235" t="s">
        <v>167</v>
      </c>
      <c r="D83" s="183">
        <v>34</v>
      </c>
      <c r="E83" s="369">
        <v>22</v>
      </c>
      <c r="F83" s="348" t="s">
        <v>634</v>
      </c>
      <c r="G83" s="98"/>
      <c r="H83" s="617" t="str">
        <f>IF(OR(D83&lt;0,D83&lt;D74,D83&gt;D82,AND(D83="",D69&gt;0)),"Il valore deve essere maggiore o uguale a zero, maggiore o uguale a ∑Cimp,DEP-cnc e minore o uguale a ∑Cimp,DEP-tot3","")</f>
        <v/>
      </c>
      <c r="I83" s="618" t="str">
        <f>IF(OR(E83&lt;0,E83&lt;E74,E83&gt;E82,AND(E83="",E69&gt;0)),"Il valore deve essere maggiore o uguale a zero, maggiore o uguale a ∑Cimp,DEP-cnc e minore o uguale a ∑Cimp,DEP-tot3","")</f>
        <v/>
      </c>
      <c r="J83" s="98"/>
      <c r="K83" s="40">
        <f t="shared" si="4"/>
        <v>0</v>
      </c>
      <c r="L83" s="40">
        <f t="shared" si="5"/>
        <v>0</v>
      </c>
    </row>
    <row r="84" spans="1:12" ht="30" customHeight="1" x14ac:dyDescent="0.25">
      <c r="A84" s="246" t="s">
        <v>637</v>
      </c>
      <c r="B84" s="162" t="s">
        <v>638</v>
      </c>
      <c r="C84" s="445" t="s">
        <v>68</v>
      </c>
      <c r="D84" s="185">
        <f t="shared" ref="D84:E84" si="9">IF(AND(D82&gt;0,D83&lt;=D82,D83&gt;=0,D83&lt;&gt;"",D82&gt;=D73,D83&gt;=D74),D83/D82,"")</f>
        <v>8.4367245657568243E-2</v>
      </c>
      <c r="E84" s="441">
        <f t="shared" si="9"/>
        <v>5.5837563451776651E-2</v>
      </c>
      <c r="F84" s="348" t="s">
        <v>639</v>
      </c>
      <c r="G84" s="98"/>
      <c r="H84" s="225"/>
      <c r="I84" s="377"/>
      <c r="J84" s="98"/>
      <c r="K84" s="40">
        <f t="shared" si="4"/>
        <v>0</v>
      </c>
      <c r="L84" s="40">
        <f t="shared" si="5"/>
        <v>0</v>
      </c>
    </row>
    <row r="85" spans="1:12" ht="30" customHeight="1" x14ac:dyDescent="0.25">
      <c r="A85" s="246" t="s">
        <v>640</v>
      </c>
      <c r="B85" s="162" t="s">
        <v>641</v>
      </c>
      <c r="C85" s="445" t="s">
        <v>167</v>
      </c>
      <c r="D85" s="175">
        <f t="shared" ref="D85:E85" si="10">IF(AND(D82&gt;0,D82&gt;=D73),D82,"")</f>
        <v>403</v>
      </c>
      <c r="E85" s="401">
        <f t="shared" si="10"/>
        <v>394</v>
      </c>
      <c r="F85" s="348" t="s">
        <v>639</v>
      </c>
      <c r="G85" s="98"/>
      <c r="H85" s="225"/>
      <c r="I85" s="377"/>
      <c r="J85" s="98"/>
      <c r="K85" s="40">
        <f t="shared" si="4"/>
        <v>0</v>
      </c>
      <c r="L85" s="40">
        <f t="shared" si="5"/>
        <v>0</v>
      </c>
    </row>
    <row r="86" spans="1:12" ht="62.1" customHeight="1" x14ac:dyDescent="0.25">
      <c r="A86" s="289" t="s">
        <v>642</v>
      </c>
      <c r="B86" s="143" t="s">
        <v>643</v>
      </c>
      <c r="C86" s="235" t="s">
        <v>167</v>
      </c>
      <c r="D86" s="183">
        <v>3141</v>
      </c>
      <c r="E86" s="369">
        <v>2989</v>
      </c>
      <c r="F86" s="365" t="s">
        <v>610</v>
      </c>
      <c r="G86" s="98"/>
      <c r="H86" s="617" t="str">
        <f>IF(D3="SI",IF(OR(D86&lt;0,D86="",D86&lt;D82),"Il valore deve essere maggiore o uguale a zero e maggiore o uguale a ∑Cimp,DEP-tot3",""),IF(D86&lt;&gt;"","Non risulta gestito il servizio di depurazione",""))</f>
        <v/>
      </c>
      <c r="I86" s="618" t="str">
        <f>IF(E3="SI",IF(OR(E86&lt;0,E86="",E86&lt;E82),"Il valore deve essere maggiore o uguale a zero e maggiore o uguale a ∑Cimp,DEP-tot3",""),IF(E86&lt;&gt;"","Non risulta gestito il servizio di depurazione",""))</f>
        <v/>
      </c>
      <c r="J86" s="98"/>
      <c r="K86" s="40">
        <f t="shared" si="4"/>
        <v>0</v>
      </c>
      <c r="L86" s="40">
        <f t="shared" si="5"/>
        <v>0</v>
      </c>
    </row>
    <row r="87" spans="1:12" ht="55.9" customHeight="1" x14ac:dyDescent="0.25">
      <c r="A87" s="289" t="s">
        <v>644</v>
      </c>
      <c r="B87" s="143" t="s">
        <v>645</v>
      </c>
      <c r="C87" s="235" t="s">
        <v>167</v>
      </c>
      <c r="D87" s="183">
        <v>38</v>
      </c>
      <c r="E87" s="369">
        <v>24</v>
      </c>
      <c r="F87" s="365" t="s">
        <v>610</v>
      </c>
      <c r="G87" s="57"/>
      <c r="H87" s="617" t="str">
        <f>IF(AND(D86&lt;&gt;"",OR(D87&lt;0,D87&gt;D86,D87="",D87&lt;D83)),"Il valore deve essere maggiore o uguale a zero, maggiore o uguale a ∑Cimp,DEP-cnc3 e minore o uguale a ∑Pimp,DEP-tot","")</f>
        <v/>
      </c>
      <c r="I87" s="618" t="str">
        <f>IF(AND(E86&lt;&gt;"",OR(E87&lt;0,E87&gt;E86,E87="",E87&lt;E83)),"Il valore deve essere maggiore o uguale a zero, maggiore o uguale a ∑Cimp,DEP-cnc3 e minore o uguale a ∑Pimp,DEP-tot","")</f>
        <v/>
      </c>
      <c r="J87" s="57"/>
      <c r="K87" s="40">
        <f t="shared" si="4"/>
        <v>0</v>
      </c>
      <c r="L87" s="40">
        <f t="shared" si="5"/>
        <v>0</v>
      </c>
    </row>
    <row r="88" spans="1:12" ht="30" customHeight="1" thickBot="1" x14ac:dyDescent="0.3">
      <c r="A88" s="249" t="s">
        <v>646</v>
      </c>
      <c r="B88" s="446" t="s">
        <v>647</v>
      </c>
      <c r="C88" s="447" t="s">
        <v>68</v>
      </c>
      <c r="D88" s="186">
        <f t="shared" ref="D88:E88" si="11">IF(AND(D86&gt;0,D87&lt;=D86,D87&gt;=0,D87&lt;&gt;""),D87/D86,"")</f>
        <v>1.2098057943330149E-2</v>
      </c>
      <c r="E88" s="442">
        <f t="shared" si="11"/>
        <v>8.0294412847106058E-3</v>
      </c>
      <c r="F88" s="349" t="s">
        <v>648</v>
      </c>
      <c r="G88" s="57"/>
      <c r="H88" s="228"/>
      <c r="I88" s="437"/>
      <c r="J88" s="57"/>
      <c r="K88" s="40">
        <f t="shared" si="4"/>
        <v>0</v>
      </c>
      <c r="L88" s="40">
        <f t="shared" si="5"/>
        <v>0</v>
      </c>
    </row>
    <row r="91" spans="1:12" hidden="1" x14ac:dyDescent="0.25">
      <c r="B91" s="277" t="s">
        <v>82</v>
      </c>
    </row>
    <row r="92" spans="1:12" hidden="1" x14ac:dyDescent="0.25">
      <c r="B92" s="76" t="s">
        <v>371</v>
      </c>
    </row>
    <row r="93" spans="1:12" hidden="1" x14ac:dyDescent="0.25">
      <c r="B93" s="277"/>
    </row>
    <row r="94" spans="1:12" hidden="1" x14ac:dyDescent="0.25">
      <c r="B94" s="76" t="s">
        <v>33</v>
      </c>
    </row>
    <row r="95" spans="1:12" hidden="1" x14ac:dyDescent="0.25">
      <c r="B95" s="277" t="s">
        <v>29</v>
      </c>
    </row>
    <row r="96" spans="1:12" hidden="1" x14ac:dyDescent="0.25">
      <c r="B96" s="132" t="s">
        <v>372</v>
      </c>
    </row>
    <row r="97" spans="2:2" hidden="1" x14ac:dyDescent="0.25">
      <c r="B97" s="76" t="s">
        <v>649</v>
      </c>
    </row>
    <row r="98" spans="2:2" hidden="1" x14ac:dyDescent="0.25">
      <c r="B98" s="278" t="s">
        <v>29</v>
      </c>
    </row>
    <row r="99" spans="2:2" hidden="1" x14ac:dyDescent="0.25">
      <c r="B99" s="77" t="s">
        <v>372</v>
      </c>
    </row>
    <row r="179" spans="2:2" x14ac:dyDescent="0.25">
      <c r="B179" s="101"/>
    </row>
  </sheetData>
  <mergeCells count="10">
    <mergeCell ref="I42:I43"/>
    <mergeCell ref="I75:I78"/>
    <mergeCell ref="H42:H43"/>
    <mergeCell ref="H75:H78"/>
    <mergeCell ref="I9:I10"/>
    <mergeCell ref="H9:H10"/>
    <mergeCell ref="I23:I24"/>
    <mergeCell ref="H23:H24"/>
    <mergeCell ref="H25:H29"/>
    <mergeCell ref="I25:I29"/>
  </mergeCells>
  <conditionalFormatting sqref="K2:L2">
    <cfRule type="cellIs" dxfId="15" priority="1" operator="lessThanOrEqual">
      <formula>0</formula>
    </cfRule>
    <cfRule type="cellIs" dxfId="14" priority="2" operator="greaterThan">
      <formula>0</formula>
    </cfRule>
  </conditionalFormatting>
  <dataValidations count="4">
    <dataValidation type="list" allowBlank="1" showInputMessage="1" showErrorMessage="1" sqref="D19:E19 D63:E63" xr:uid="{00000000-0002-0000-0300-000000000000}">
      <formula1>$B$93:$B$94</formula1>
    </dataValidation>
    <dataValidation type="list" allowBlank="1" showInputMessage="1" showErrorMessage="1" sqref="D18:E18 D62:E62" xr:uid="{00000000-0002-0000-0300-000001000000}">
      <formula1>$B$91:$B$92</formula1>
    </dataValidation>
    <dataValidation type="list" allowBlank="1" showInputMessage="1" showErrorMessage="1" sqref="D3:E3" xr:uid="{00000000-0002-0000-0300-000002000000}">
      <formula1>$B$98:$B$99</formula1>
    </dataValidation>
    <dataValidation type="list" allowBlank="1" showInputMessage="1" showErrorMessage="1" sqref="D47:E47" xr:uid="{00000000-0002-0000-0300-000003000000}">
      <formula1>$B$95:$B$97</formula1>
    </dataValidation>
  </dataValidations>
  <pageMargins left="0.23622047244094491" right="0.23622047244094491" top="0.47244094488188981" bottom="0.47244094488188981" header="0.31496062992125984" footer="0.31496062992125984"/>
  <pageSetup paperSize="8" scale="41" fitToHeight="0" orientation="landscape" r:id="rId1"/>
  <ignoredErrors>
    <ignoredError sqref="H54 I54" 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>
    <tabColor theme="4" tint="0.39997558519241921"/>
    <pageSetUpPr fitToPage="1"/>
  </sheetPr>
  <dimension ref="A1:T142"/>
  <sheetViews>
    <sheetView showGridLines="0" zoomScale="80" zoomScaleNormal="80" workbookViewId="0">
      <pane xSplit="3" ySplit="2" topLeftCell="D31" activePane="bottomRight" state="frozen"/>
      <selection pane="topRight" activeCell="B4" sqref="B4"/>
      <selection pane="bottomLeft" activeCell="B4" sqref="B4"/>
      <selection pane="bottomRight" activeCell="D10" sqref="D10"/>
    </sheetView>
  </sheetViews>
  <sheetFormatPr defaultColWidth="8.85546875" defaultRowHeight="15" x14ac:dyDescent="0.25"/>
  <cols>
    <col min="1" max="1" width="12.85546875" customWidth="1"/>
    <col min="2" max="2" width="50.85546875" style="70" customWidth="1"/>
    <col min="3" max="3" width="9.85546875" customWidth="1"/>
    <col min="4" max="5" width="14.85546875" customWidth="1"/>
    <col min="6" max="6" width="50.85546875" style="31" customWidth="1"/>
    <col min="7" max="7" width="2.85546875" style="31" customWidth="1"/>
    <col min="8" max="9" width="25.85546875" style="31" customWidth="1"/>
    <col min="10" max="10" width="2.85546875" style="31" customWidth="1"/>
    <col min="11" max="12" width="20.85546875" style="53" customWidth="1"/>
  </cols>
  <sheetData>
    <row r="1" spans="1:12" ht="69.95" customHeight="1" thickBot="1" x14ac:dyDescent="0.3">
      <c r="A1" s="28"/>
      <c r="B1" s="29" t="s">
        <v>650</v>
      </c>
      <c r="C1" s="28"/>
      <c r="D1" s="30"/>
      <c r="E1" s="30"/>
      <c r="K1" s="229" t="s">
        <v>16</v>
      </c>
      <c r="L1" s="379" t="s">
        <v>17</v>
      </c>
    </row>
    <row r="2" spans="1:12" ht="70.349999999999994" customHeight="1" thickBot="1" x14ac:dyDescent="0.3">
      <c r="A2" s="32" t="s">
        <v>18</v>
      </c>
      <c r="B2" s="33" t="s">
        <v>19</v>
      </c>
      <c r="C2" s="343" t="s">
        <v>20</v>
      </c>
      <c r="D2" s="35" t="s">
        <v>21</v>
      </c>
      <c r="E2" s="345" t="s">
        <v>22</v>
      </c>
      <c r="F2" s="344" t="s">
        <v>23</v>
      </c>
      <c r="H2" s="209" t="s">
        <v>24</v>
      </c>
      <c r="I2" s="381" t="s">
        <v>25</v>
      </c>
      <c r="K2" s="230">
        <f>SUM(K3:K137)</f>
        <v>1</v>
      </c>
      <c r="L2" s="380">
        <f>SUM(L3:L137)</f>
        <v>1</v>
      </c>
    </row>
    <row r="3" spans="1:12" s="44" customFormat="1" ht="10.35" customHeight="1" x14ac:dyDescent="0.25">
      <c r="A3" s="41"/>
      <c r="B3" s="42"/>
      <c r="C3" s="41"/>
      <c r="D3" s="41"/>
      <c r="E3" s="41"/>
      <c r="F3" s="203"/>
      <c r="G3" s="31"/>
      <c r="H3" s="43"/>
      <c r="I3" s="43"/>
      <c r="J3" s="31"/>
      <c r="K3" s="40">
        <f t="shared" ref="K3:K34" si="0">IF(H3="",0,1)</f>
        <v>0</v>
      </c>
      <c r="L3" s="40">
        <f t="shared" ref="L3:L34" si="1">IF(I3="",0,1)</f>
        <v>0</v>
      </c>
    </row>
    <row r="4" spans="1:12" s="44" customFormat="1" ht="17.25" customHeight="1" thickBot="1" x14ac:dyDescent="0.3">
      <c r="A4" s="45" t="s">
        <v>651</v>
      </c>
      <c r="B4" s="42"/>
      <c r="C4" s="41"/>
      <c r="D4" s="41"/>
      <c r="E4" s="41"/>
      <c r="F4" s="203"/>
      <c r="G4" s="31"/>
      <c r="H4" s="43"/>
      <c r="I4" s="43"/>
      <c r="J4" s="31"/>
      <c r="K4" s="40">
        <f t="shared" si="0"/>
        <v>0</v>
      </c>
      <c r="L4" s="40">
        <f t="shared" si="1"/>
        <v>0</v>
      </c>
    </row>
    <row r="5" spans="1:12" s="44" customFormat="1" ht="46.5" customHeight="1" x14ac:dyDescent="0.25">
      <c r="A5" s="519" t="s">
        <v>652</v>
      </c>
      <c r="B5" s="520" t="s">
        <v>653</v>
      </c>
      <c r="C5" s="65" t="s">
        <v>167</v>
      </c>
      <c r="D5" s="3">
        <v>0</v>
      </c>
      <c r="E5" s="350">
        <v>0</v>
      </c>
      <c r="F5" s="347" t="s">
        <v>654</v>
      </c>
      <c r="G5" s="31"/>
      <c r="H5" s="212" t="str">
        <f>IF(OR(D5&lt;0,D5&gt;'QT-Acquedotto'!D89),"Il valore deve essere maggiore o uguale a zero e minore o uguale a ∑US1","")</f>
        <v/>
      </c>
      <c r="I5" s="372" t="str">
        <f>IF(OR(E5&lt;0,E5&gt;'QT-Acquedotto'!E89),"Il valore deve essere maggiore o uguale a zero e minore o uguale a ∑US1","")</f>
        <v/>
      </c>
      <c r="J5" s="31"/>
      <c r="K5" s="40">
        <f t="shared" si="0"/>
        <v>0</v>
      </c>
      <c r="L5" s="40">
        <f t="shared" si="1"/>
        <v>0</v>
      </c>
    </row>
    <row r="6" spans="1:12" s="44" customFormat="1" ht="43.5" customHeight="1" x14ac:dyDescent="0.25">
      <c r="A6" s="509" t="s">
        <v>655</v>
      </c>
      <c r="B6" s="257" t="s">
        <v>656</v>
      </c>
      <c r="C6" s="251" t="s">
        <v>167</v>
      </c>
      <c r="D6" s="26">
        <v>0</v>
      </c>
      <c r="E6" s="351">
        <v>0</v>
      </c>
      <c r="F6" s="348" t="s">
        <v>654</v>
      </c>
      <c r="G6" s="31"/>
      <c r="H6" s="617" t="str">
        <f>IF(OR(D6&lt;0,D6&gt;'QT-Acquedotto'!D90),"Il valore deve essere maggiore o uguale a zero e minore o uguale a ∑US2","")</f>
        <v/>
      </c>
      <c r="I6" s="618" t="str">
        <f>IF(OR(E6&lt;0,E6&gt;'QT-Acquedotto'!E90),"Il valore deve essere maggiore o uguale a zero e minore o uguale a ∑US2","")</f>
        <v/>
      </c>
      <c r="J6" s="31"/>
      <c r="K6" s="40">
        <f t="shared" si="0"/>
        <v>0</v>
      </c>
      <c r="L6" s="40">
        <f t="shared" si="1"/>
        <v>0</v>
      </c>
    </row>
    <row r="7" spans="1:12" s="44" customFormat="1" ht="43.5" customHeight="1" x14ac:dyDescent="0.25">
      <c r="A7" s="509" t="s">
        <v>657</v>
      </c>
      <c r="B7" s="257" t="s">
        <v>658</v>
      </c>
      <c r="C7" s="251" t="s">
        <v>167</v>
      </c>
      <c r="D7" s="26">
        <v>0</v>
      </c>
      <c r="E7" s="351">
        <v>0</v>
      </c>
      <c r="F7" s="348" t="s">
        <v>654</v>
      </c>
      <c r="G7" s="31"/>
      <c r="H7" s="617" t="str">
        <f>IF(OR(D7&lt;0,D7&gt;'QT-Acquedotto'!D91),"Il valore deve essere maggiore o uguale a zero e minore o uguale a ∑US3","")</f>
        <v/>
      </c>
      <c r="I7" s="618" t="str">
        <f>IF(OR(E7&lt;0,E7&gt;'QT-Acquedotto'!E91),"Il valore deve essere maggiore o uguale a zero e minore o uguale a ∑US3","")</f>
        <v/>
      </c>
      <c r="J7" s="31"/>
      <c r="K7" s="40">
        <f t="shared" si="0"/>
        <v>0</v>
      </c>
      <c r="L7" s="40">
        <f t="shared" si="1"/>
        <v>0</v>
      </c>
    </row>
    <row r="8" spans="1:12" s="44" customFormat="1" ht="63" customHeight="1" x14ac:dyDescent="0.25">
      <c r="A8" s="509" t="s">
        <v>659</v>
      </c>
      <c r="B8" s="257" t="s">
        <v>660</v>
      </c>
      <c r="C8" s="251" t="s">
        <v>661</v>
      </c>
      <c r="D8" s="26">
        <v>0</v>
      </c>
      <c r="E8" s="351">
        <v>0</v>
      </c>
      <c r="F8" s="348" t="s">
        <v>662</v>
      </c>
      <c r="G8" s="31"/>
      <c r="H8" s="617" t="str">
        <f>IF(D8&lt;0,"Il valore deve essere maggiore o uguale a zero","")</f>
        <v/>
      </c>
      <c r="I8" s="618" t="str">
        <f>IF(E8&lt;0,"Il valore deve essere maggiore o uguale a zero","")</f>
        <v/>
      </c>
      <c r="J8" s="31"/>
      <c r="K8" s="40">
        <f t="shared" si="0"/>
        <v>0</v>
      </c>
      <c r="L8" s="40">
        <f t="shared" si="1"/>
        <v>0</v>
      </c>
    </row>
    <row r="9" spans="1:12" s="44" customFormat="1" ht="65.25" customHeight="1" x14ac:dyDescent="0.25">
      <c r="A9" s="509" t="s">
        <v>663</v>
      </c>
      <c r="B9" s="257" t="s">
        <v>664</v>
      </c>
      <c r="C9" s="251" t="s">
        <v>661</v>
      </c>
      <c r="D9" s="26">
        <v>0</v>
      </c>
      <c r="E9" s="351">
        <v>0</v>
      </c>
      <c r="F9" s="348" t="s">
        <v>662</v>
      </c>
      <c r="G9" s="31"/>
      <c r="H9" s="617" t="str">
        <f>IF(D9&lt;0,"Il valore deve essere maggiore o uguale a zero","")</f>
        <v/>
      </c>
      <c r="I9" s="618" t="str">
        <f>IF(E9&lt;0,"Il valore deve essere maggiore o uguale a zero","")</f>
        <v/>
      </c>
      <c r="J9" s="31"/>
      <c r="K9" s="40">
        <f t="shared" si="0"/>
        <v>0</v>
      </c>
      <c r="L9" s="40">
        <f t="shared" si="1"/>
        <v>0</v>
      </c>
    </row>
    <row r="10" spans="1:12" s="44" customFormat="1" ht="46.35" customHeight="1" thickBot="1" x14ac:dyDescent="0.3">
      <c r="A10" s="521" t="s">
        <v>665</v>
      </c>
      <c r="B10" s="111" t="s">
        <v>666</v>
      </c>
      <c r="C10" s="115" t="s">
        <v>28</v>
      </c>
      <c r="D10" s="119"/>
      <c r="E10" s="352"/>
      <c r="F10" s="349" t="s">
        <v>667</v>
      </c>
      <c r="G10" s="31"/>
      <c r="H10" s="214"/>
      <c r="I10" s="378"/>
      <c r="J10" s="31"/>
      <c r="K10" s="40">
        <f t="shared" si="0"/>
        <v>0</v>
      </c>
      <c r="L10" s="40">
        <f t="shared" si="1"/>
        <v>0</v>
      </c>
    </row>
    <row r="11" spans="1:12" s="44" customFormat="1" ht="10.35" customHeight="1" x14ac:dyDescent="0.25">
      <c r="A11" s="41"/>
      <c r="B11" s="42"/>
      <c r="C11" s="41"/>
      <c r="D11" s="41"/>
      <c r="E11" s="41"/>
      <c r="F11" s="203"/>
      <c r="G11" s="31"/>
      <c r="H11" s="43"/>
      <c r="I11" s="43"/>
      <c r="J11" s="31"/>
      <c r="K11" s="40">
        <f t="shared" si="0"/>
        <v>0</v>
      </c>
      <c r="L11" s="40">
        <f t="shared" si="1"/>
        <v>0</v>
      </c>
    </row>
    <row r="12" spans="1:12" s="44" customFormat="1" ht="17.25" customHeight="1" thickBot="1" x14ac:dyDescent="0.3">
      <c r="A12" s="45" t="s">
        <v>668</v>
      </c>
      <c r="B12" s="42"/>
      <c r="C12" s="41"/>
      <c r="D12" s="41"/>
      <c r="E12" s="41"/>
      <c r="F12" s="203"/>
      <c r="G12" s="31"/>
      <c r="H12" s="43"/>
      <c r="I12" s="43"/>
      <c r="J12" s="31"/>
      <c r="K12" s="40">
        <f t="shared" si="0"/>
        <v>0</v>
      </c>
      <c r="L12" s="40">
        <f t="shared" si="1"/>
        <v>0</v>
      </c>
    </row>
    <row r="13" spans="1:12" s="44" customFormat="1" ht="32.1" customHeight="1" x14ac:dyDescent="0.25">
      <c r="A13" s="64" t="s">
        <v>165</v>
      </c>
      <c r="B13" s="55" t="s">
        <v>166</v>
      </c>
      <c r="C13" s="56" t="s">
        <v>167</v>
      </c>
      <c r="D13" s="285">
        <f>'QT-Acquedotto'!D59</f>
        <v>105209</v>
      </c>
      <c r="E13" s="357">
        <f>'QT-Acquedotto'!E59</f>
        <v>105749</v>
      </c>
      <c r="F13" s="347"/>
      <c r="G13" s="31"/>
      <c r="H13" s="286"/>
      <c r="I13" s="376"/>
      <c r="J13" s="31"/>
      <c r="K13" s="40">
        <f t="shared" si="0"/>
        <v>0</v>
      </c>
      <c r="L13" s="40">
        <f t="shared" si="1"/>
        <v>0</v>
      </c>
    </row>
    <row r="14" spans="1:12" ht="31.7" customHeight="1" x14ac:dyDescent="0.25">
      <c r="A14" s="243" t="s">
        <v>669</v>
      </c>
      <c r="B14" s="141" t="s">
        <v>670</v>
      </c>
      <c r="C14" s="233" t="s">
        <v>167</v>
      </c>
      <c r="D14" s="26">
        <v>102625</v>
      </c>
      <c r="E14" s="351">
        <v>105383</v>
      </c>
      <c r="F14" s="348" t="s">
        <v>671</v>
      </c>
      <c r="H14" s="617" t="str">
        <f>IF(OR(D14&lt;0,D14&gt;D13),"Il valore deve essere maggiore o uguale a zero e minore o uguale a UtT","")</f>
        <v/>
      </c>
      <c r="I14" s="618" t="str">
        <f>IF(OR(E14&lt;0,E14&gt;E13),"Il valore deve essere maggiore o uguale a zero e minore o uguale a UtT","")</f>
        <v/>
      </c>
      <c r="K14" s="40">
        <f t="shared" si="0"/>
        <v>0</v>
      </c>
      <c r="L14" s="40">
        <f t="shared" si="1"/>
        <v>0</v>
      </c>
    </row>
    <row r="15" spans="1:12" ht="25.35" customHeight="1" x14ac:dyDescent="0.25">
      <c r="A15" s="243" t="s">
        <v>672</v>
      </c>
      <c r="B15" s="139" t="s">
        <v>673</v>
      </c>
      <c r="C15" s="233" t="s">
        <v>167</v>
      </c>
      <c r="D15" s="26">
        <v>34170</v>
      </c>
      <c r="E15" s="351">
        <v>37195</v>
      </c>
      <c r="F15" s="348" t="s">
        <v>671</v>
      </c>
      <c r="H15" s="672" t="str">
        <f>IF(OR(D15&lt;&gt;"",D16&lt;&gt;"",D17&lt;&gt;""),IF(OR(D15&lt;0,D16&lt;0,D17&lt;0,D15+D16+D17&lt;&gt;D14),"Ogni di cui deve essere maggiore o uguale a zero e la somma deve essere pari a UtTmis",""),"")</f>
        <v/>
      </c>
      <c r="I15" s="673" t="str">
        <f>IF(OR(E15&lt;&gt;"",E16&lt;&gt;"",E17&lt;&gt;""),IF(OR(E15&lt;0,E16&lt;0,E17&lt;0,E15+E16+E17&lt;&gt;E14),"Ogni di cui deve essere maggiore o uguale a zero e la somma deve essere pari a UtTmis",""),"")</f>
        <v/>
      </c>
      <c r="K15" s="40">
        <f t="shared" si="0"/>
        <v>0</v>
      </c>
      <c r="L15" s="40">
        <f t="shared" si="1"/>
        <v>0</v>
      </c>
    </row>
    <row r="16" spans="1:12" ht="25.35" customHeight="1" x14ac:dyDescent="0.25">
      <c r="A16" s="243" t="s">
        <v>674</v>
      </c>
      <c r="B16" s="139" t="s">
        <v>675</v>
      </c>
      <c r="C16" s="233" t="s">
        <v>167</v>
      </c>
      <c r="D16" s="26">
        <v>19</v>
      </c>
      <c r="E16" s="351">
        <v>13</v>
      </c>
      <c r="F16" s="348" t="s">
        <v>671</v>
      </c>
      <c r="H16" s="672"/>
      <c r="I16" s="673"/>
      <c r="K16" s="40">
        <f t="shared" si="0"/>
        <v>0</v>
      </c>
      <c r="L16" s="40">
        <f t="shared" si="1"/>
        <v>0</v>
      </c>
    </row>
    <row r="17" spans="1:12" ht="25.35" customHeight="1" x14ac:dyDescent="0.25">
      <c r="A17" s="237" t="s">
        <v>676</v>
      </c>
      <c r="B17" s="147" t="s">
        <v>677</v>
      </c>
      <c r="C17" s="233" t="s">
        <v>167</v>
      </c>
      <c r="D17" s="26">
        <v>68436</v>
      </c>
      <c r="E17" s="351">
        <v>68175</v>
      </c>
      <c r="F17" s="348" t="s">
        <v>671</v>
      </c>
      <c r="H17" s="672"/>
      <c r="I17" s="673"/>
      <c r="K17" s="40">
        <f t="shared" si="0"/>
        <v>0</v>
      </c>
      <c r="L17" s="40">
        <f t="shared" si="1"/>
        <v>0</v>
      </c>
    </row>
    <row r="18" spans="1:12" ht="44.85" customHeight="1" x14ac:dyDescent="0.25">
      <c r="A18" s="509" t="s">
        <v>678</v>
      </c>
      <c r="B18" s="540" t="s">
        <v>679</v>
      </c>
      <c r="C18" s="233" t="s">
        <v>167</v>
      </c>
      <c r="D18" s="26">
        <v>1687</v>
      </c>
      <c r="E18" s="351">
        <v>3992</v>
      </c>
      <c r="F18" s="348" t="s">
        <v>680</v>
      </c>
      <c r="H18" s="617" t="str">
        <f>IF(OR(D18&lt;0,D18&gt;D14),"Il valore deve essere maggiore o uguale a zero e minore o uguale a UtT_mis","")</f>
        <v/>
      </c>
      <c r="I18" s="618" t="str">
        <f>IF(OR(E18&lt;0,E18&gt;E14),"Il valore deve essere maggiore o uguale a zero e minore o uguale a UtT_mis","")</f>
        <v/>
      </c>
      <c r="K18" s="40">
        <f t="shared" si="0"/>
        <v>0</v>
      </c>
      <c r="L18" s="40">
        <f t="shared" si="1"/>
        <v>0</v>
      </c>
    </row>
    <row r="19" spans="1:12" ht="25.5" x14ac:dyDescent="0.25">
      <c r="A19" s="509" t="s">
        <v>681</v>
      </c>
      <c r="B19" s="159" t="s">
        <v>682</v>
      </c>
      <c r="C19" s="233" t="s">
        <v>167</v>
      </c>
      <c r="D19" s="26">
        <v>0</v>
      </c>
      <c r="E19" s="351">
        <v>0</v>
      </c>
      <c r="F19" s="348" t="s">
        <v>151</v>
      </c>
      <c r="H19" s="617" t="str">
        <f>IF(OR(D19&lt;0,D19&gt;D18),"Il valore deve essere maggiore o uguale a zero e minore o uguale a UtT_mis_sm","")</f>
        <v/>
      </c>
      <c r="I19" s="618" t="str">
        <f>IF(OR(E19&lt;0,E19&gt;E18),"Il valore deve essere maggiore o uguale a zero e minore o uguale a UtT_mis_sm","")</f>
        <v/>
      </c>
      <c r="K19" s="40">
        <f t="shared" si="0"/>
        <v>0</v>
      </c>
      <c r="L19" s="40">
        <f t="shared" si="1"/>
        <v>0</v>
      </c>
    </row>
    <row r="20" spans="1:12" s="44" customFormat="1" ht="32.1" customHeight="1" x14ac:dyDescent="0.25">
      <c r="A20" s="243" t="s">
        <v>683</v>
      </c>
      <c r="B20" s="141" t="s">
        <v>684</v>
      </c>
      <c r="C20" s="233" t="s">
        <v>167</v>
      </c>
      <c r="D20" s="26">
        <v>376</v>
      </c>
      <c r="E20" s="351">
        <v>366</v>
      </c>
      <c r="F20" s="348" t="s">
        <v>671</v>
      </c>
      <c r="G20" s="31"/>
      <c r="H20" s="617" t="str">
        <f>IF(OR(D20&lt;0,D20&gt;(D13-D14)),"Il valore deve essere maggiore o uguale a zero e minore o uguale a UtT-UtT_mis","")</f>
        <v/>
      </c>
      <c r="I20" s="618" t="str">
        <f>IF(OR(E20&lt;0,E20&gt;(E13-E14)),"Il valore deve essere maggiore o uguale a zero e minore o uguale a UtT-UtT_mis","")</f>
        <v/>
      </c>
      <c r="J20" s="31"/>
      <c r="K20" s="40">
        <f t="shared" si="0"/>
        <v>0</v>
      </c>
      <c r="L20" s="40">
        <f t="shared" si="1"/>
        <v>0</v>
      </c>
    </row>
    <row r="21" spans="1:12" s="44" customFormat="1" ht="32.1" customHeight="1" x14ac:dyDescent="0.25">
      <c r="A21" s="268" t="s">
        <v>669</v>
      </c>
      <c r="B21" s="148" t="s">
        <v>670</v>
      </c>
      <c r="C21" s="233" t="s">
        <v>167</v>
      </c>
      <c r="D21" s="358">
        <f>D14</f>
        <v>102625</v>
      </c>
      <c r="E21" s="359">
        <f>E14</f>
        <v>105383</v>
      </c>
      <c r="F21" s="348" t="s">
        <v>671</v>
      </c>
      <c r="G21" s="31"/>
      <c r="H21" s="222"/>
      <c r="I21" s="374"/>
      <c r="J21" s="31"/>
      <c r="K21" s="40">
        <f t="shared" si="0"/>
        <v>0</v>
      </c>
      <c r="L21" s="40">
        <f t="shared" si="1"/>
        <v>0</v>
      </c>
    </row>
    <row r="22" spans="1:12" s="44" customFormat="1" ht="30" customHeight="1" x14ac:dyDescent="0.25">
      <c r="A22" s="268" t="s">
        <v>685</v>
      </c>
      <c r="B22" s="149" t="s">
        <v>686</v>
      </c>
      <c r="C22" s="233" t="s">
        <v>167</v>
      </c>
      <c r="D22" s="26">
        <v>101906</v>
      </c>
      <c r="E22" s="351">
        <v>104669</v>
      </c>
      <c r="F22" s="348" t="s">
        <v>671</v>
      </c>
      <c r="G22" s="31"/>
      <c r="H22" s="672" t="str">
        <f>IF(OR(D22&lt;&gt;"",D23&lt;&gt;""),IF(OR(D22&lt;0,D23&lt;0,D23+D22&lt;&gt;D21),"Ogni di cui deve essere maggiore o uguale a zero e la somma deve essere pari a UtTmis",""),"")</f>
        <v/>
      </c>
      <c r="I22" s="673" t="str">
        <f>IF(OR(E22&lt;&gt;"",E23&lt;&gt;""),IF(OR(E22&lt;0,E23&lt;0,E23+E22&lt;&gt;E21),"Ogni di cui deve essere maggiore o uguale a zero e la somma deve essere pari a UtTmis",""),"")</f>
        <v/>
      </c>
      <c r="J22" s="31"/>
      <c r="K22" s="40">
        <f t="shared" si="0"/>
        <v>0</v>
      </c>
      <c r="L22" s="40">
        <f t="shared" si="1"/>
        <v>0</v>
      </c>
    </row>
    <row r="23" spans="1:12" s="44" customFormat="1" ht="30" customHeight="1" x14ac:dyDescent="0.25">
      <c r="A23" s="268" t="s">
        <v>687</v>
      </c>
      <c r="B23" s="149" t="s">
        <v>688</v>
      </c>
      <c r="C23" s="233" t="s">
        <v>167</v>
      </c>
      <c r="D23" s="26">
        <v>719</v>
      </c>
      <c r="E23" s="351">
        <v>714</v>
      </c>
      <c r="F23" s="348" t="s">
        <v>671</v>
      </c>
      <c r="G23" s="31"/>
      <c r="H23" s="672"/>
      <c r="I23" s="673"/>
      <c r="J23" s="31"/>
      <c r="K23" s="40">
        <f t="shared" si="0"/>
        <v>0</v>
      </c>
      <c r="L23" s="40">
        <f t="shared" si="1"/>
        <v>0</v>
      </c>
    </row>
    <row r="24" spans="1:12" s="44" customFormat="1" ht="32.1" customHeight="1" x14ac:dyDescent="0.25">
      <c r="A24" s="243" t="s">
        <v>689</v>
      </c>
      <c r="B24" s="141" t="s">
        <v>690</v>
      </c>
      <c r="C24" s="233" t="s">
        <v>167</v>
      </c>
      <c r="D24" s="26">
        <v>229831</v>
      </c>
      <c r="E24" s="351">
        <v>247965</v>
      </c>
      <c r="F24" s="348" t="s">
        <v>691</v>
      </c>
      <c r="G24" s="31"/>
      <c r="H24" s="617" t="str">
        <f>IF(D24&lt;0,"Il valore deve essere maggiore o uguale a zero","")</f>
        <v/>
      </c>
      <c r="I24" s="618" t="str">
        <f>IF(E24&lt;0,"Il valore deve essere maggiore o uguale a zero","")</f>
        <v/>
      </c>
      <c r="J24" s="31"/>
      <c r="K24" s="40">
        <f t="shared" si="0"/>
        <v>0</v>
      </c>
      <c r="L24" s="40">
        <f t="shared" si="1"/>
        <v>0</v>
      </c>
    </row>
    <row r="25" spans="1:12" s="44" customFormat="1" ht="25.35" customHeight="1" x14ac:dyDescent="0.25">
      <c r="A25" s="243" t="s">
        <v>692</v>
      </c>
      <c r="B25" s="139" t="s">
        <v>693</v>
      </c>
      <c r="C25" s="233" t="s">
        <v>167</v>
      </c>
      <c r="D25" s="26">
        <v>131268</v>
      </c>
      <c r="E25" s="351">
        <v>151625</v>
      </c>
      <c r="F25" s="348" t="s">
        <v>671</v>
      </c>
      <c r="G25" s="31"/>
      <c r="H25" s="617" t="str">
        <f>IF(OR(D25&lt;0,D25&gt;D24),"Il valore deve essere maggiore o uguale a zero e minore o uguale di Racc_3000","")</f>
        <v/>
      </c>
      <c r="I25" s="618" t="str">
        <f>IF(OR(E25&lt;0,E25&gt;E24),"Il valore deve essere maggiore o uguale a zero e minore o uguale di Racc_3000","")</f>
        <v/>
      </c>
      <c r="J25" s="31"/>
      <c r="K25" s="40">
        <f t="shared" si="0"/>
        <v>0</v>
      </c>
      <c r="L25" s="40">
        <f t="shared" si="1"/>
        <v>0</v>
      </c>
    </row>
    <row r="26" spans="1:12" s="44" customFormat="1" ht="25.35" customHeight="1" x14ac:dyDescent="0.25">
      <c r="A26" s="243" t="s">
        <v>694</v>
      </c>
      <c r="B26" s="139" t="s">
        <v>695</v>
      </c>
      <c r="C26" s="233" t="s">
        <v>167</v>
      </c>
      <c r="D26" s="26">
        <v>131268</v>
      </c>
      <c r="E26" s="351">
        <v>151625</v>
      </c>
      <c r="F26" s="348" t="s">
        <v>671</v>
      </c>
      <c r="G26" s="31"/>
      <c r="H26" s="617" t="str">
        <f>IF(OR(D26&lt;0,D26&gt;D24),"Il valore deve essere maggiore o uguale a zero e minore o uguale di Racc_3000","")</f>
        <v/>
      </c>
      <c r="I26" s="618" t="str">
        <f>IF(OR(E26&lt;0,E26&gt;E24),"Il valore deve essere maggiore o uguale a zero e minore o uguale di Racc_3000","")</f>
        <v/>
      </c>
      <c r="J26" s="31"/>
      <c r="K26" s="40">
        <f t="shared" si="0"/>
        <v>0</v>
      </c>
      <c r="L26" s="40">
        <f t="shared" si="1"/>
        <v>0</v>
      </c>
    </row>
    <row r="27" spans="1:12" s="44" customFormat="1" ht="45" customHeight="1" x14ac:dyDescent="0.25">
      <c r="A27" s="243" t="s">
        <v>696</v>
      </c>
      <c r="B27" s="141" t="s">
        <v>697</v>
      </c>
      <c r="C27" s="233" t="s">
        <v>167</v>
      </c>
      <c r="D27" s="26">
        <v>33608</v>
      </c>
      <c r="E27" s="351">
        <v>36848</v>
      </c>
      <c r="F27" s="348" t="s">
        <v>671</v>
      </c>
      <c r="G27" s="31"/>
      <c r="H27" s="617" t="str">
        <f>IF(D27&lt;0,"Il valore deve essere maggiore o uguale a zero","")</f>
        <v/>
      </c>
      <c r="I27" s="618" t="str">
        <f>IF(E27&lt;0,"Il valore deve essere maggiore o uguale a zero","")</f>
        <v/>
      </c>
      <c r="J27" s="31"/>
      <c r="K27" s="40">
        <f t="shared" si="0"/>
        <v>0</v>
      </c>
      <c r="L27" s="40">
        <f t="shared" si="1"/>
        <v>0</v>
      </c>
    </row>
    <row r="28" spans="1:12" s="44" customFormat="1" ht="25.35" customHeight="1" x14ac:dyDescent="0.25">
      <c r="A28" s="243" t="s">
        <v>698</v>
      </c>
      <c r="B28" s="139" t="s">
        <v>695</v>
      </c>
      <c r="C28" s="233" t="s">
        <v>167</v>
      </c>
      <c r="D28" s="26">
        <v>33607</v>
      </c>
      <c r="E28" s="351">
        <v>36817</v>
      </c>
      <c r="F28" s="348" t="s">
        <v>671</v>
      </c>
      <c r="G28" s="31"/>
      <c r="H28" s="617" t="str">
        <f>IF(OR(D28&lt;0,D28&gt;D27),"Il valore deve essere maggiore o uguale a zero e minore o uguale di Al_3000","")</f>
        <v/>
      </c>
      <c r="I28" s="618" t="str">
        <f>IF(OR(E28&lt;0,E28&gt;E27),"Il valore deve essere maggiore o uguale a zero e minore o uguale di Al_3000","")</f>
        <v/>
      </c>
      <c r="J28" s="31"/>
      <c r="K28" s="40">
        <f t="shared" si="0"/>
        <v>0</v>
      </c>
      <c r="L28" s="40">
        <f t="shared" si="1"/>
        <v>0</v>
      </c>
    </row>
    <row r="29" spans="1:12" s="44" customFormat="1" ht="32.1" customHeight="1" x14ac:dyDescent="0.25">
      <c r="A29" s="243" t="s">
        <v>699</v>
      </c>
      <c r="B29" s="141" t="s">
        <v>700</v>
      </c>
      <c r="C29" s="233" t="s">
        <v>167</v>
      </c>
      <c r="D29" s="26">
        <v>3038</v>
      </c>
      <c r="E29" s="351">
        <v>2612</v>
      </c>
      <c r="F29" s="348" t="s">
        <v>691</v>
      </c>
      <c r="G29" s="31"/>
      <c r="H29" s="617" t="str">
        <f>IF(D29&lt;0,"Il valore deve essere maggiore o uguale a zero","")</f>
        <v/>
      </c>
      <c r="I29" s="618" t="str">
        <f>IF(E29&lt;0,"Il valore deve essere maggiore o uguale a zero","")</f>
        <v/>
      </c>
      <c r="J29" s="31"/>
      <c r="K29" s="40">
        <f t="shared" si="0"/>
        <v>0</v>
      </c>
      <c r="L29" s="40">
        <f t="shared" si="1"/>
        <v>0</v>
      </c>
    </row>
    <row r="30" spans="1:12" s="44" customFormat="1" ht="25.35" customHeight="1" x14ac:dyDescent="0.25">
      <c r="A30" s="243" t="s">
        <v>701</v>
      </c>
      <c r="B30" s="139" t="s">
        <v>693</v>
      </c>
      <c r="C30" s="233" t="s">
        <v>167</v>
      </c>
      <c r="D30" s="26">
        <v>900</v>
      </c>
      <c r="E30" s="351">
        <v>896</v>
      </c>
      <c r="F30" s="348" t="s">
        <v>671</v>
      </c>
      <c r="G30" s="31"/>
      <c r="H30" s="617" t="str">
        <f>IF(OR(D30&lt;0,D30&gt;D29),"Il valore deve essere maggiore o uguale a zero e minore o uguale di Racc_3000+","")</f>
        <v/>
      </c>
      <c r="I30" s="618" t="str">
        <f>IF(OR(E30&lt;0,E30&gt;E29),"Il valore deve essere maggiore o uguale a zero e minore o uguale di Racc_3000+","")</f>
        <v/>
      </c>
      <c r="J30" s="31"/>
      <c r="K30" s="40">
        <f t="shared" si="0"/>
        <v>0</v>
      </c>
      <c r="L30" s="40">
        <f t="shared" si="1"/>
        <v>0</v>
      </c>
    </row>
    <row r="31" spans="1:12" s="44" customFormat="1" ht="25.35" customHeight="1" x14ac:dyDescent="0.25">
      <c r="A31" s="243" t="s">
        <v>702</v>
      </c>
      <c r="B31" s="139" t="s">
        <v>695</v>
      </c>
      <c r="C31" s="233" t="s">
        <v>167</v>
      </c>
      <c r="D31" s="26">
        <v>900</v>
      </c>
      <c r="E31" s="351">
        <v>896</v>
      </c>
      <c r="F31" s="348" t="s">
        <v>671</v>
      </c>
      <c r="G31" s="31"/>
      <c r="H31" s="617" t="str">
        <f>IF(OR(D31&lt;0,D31&gt;D29),"Il valore deve essere maggiore o uguale a zero e minore o uguale di Racc_3000+","")</f>
        <v/>
      </c>
      <c r="I31" s="618" t="str">
        <f>IF(OR(E31&lt;0,E31&gt;E29),"Il valore deve essere maggiore o uguale a zero e minore o uguale di Racc_3000+","")</f>
        <v/>
      </c>
      <c r="J31" s="31"/>
      <c r="K31" s="40">
        <f t="shared" si="0"/>
        <v>0</v>
      </c>
      <c r="L31" s="40">
        <f t="shared" si="1"/>
        <v>0</v>
      </c>
    </row>
    <row r="32" spans="1:12" s="44" customFormat="1" ht="42.6" customHeight="1" x14ac:dyDescent="0.25">
      <c r="A32" s="243" t="s">
        <v>703</v>
      </c>
      <c r="B32" s="141" t="s">
        <v>704</v>
      </c>
      <c r="C32" s="233" t="s">
        <v>167</v>
      </c>
      <c r="D32" s="26">
        <v>317</v>
      </c>
      <c r="E32" s="351">
        <v>408</v>
      </c>
      <c r="F32" s="348" t="s">
        <v>671</v>
      </c>
      <c r="G32" s="31"/>
      <c r="H32" s="617" t="str">
        <f>IF(D32&lt;0,"Il valore deve essere maggiore o uguale a zero","")</f>
        <v/>
      </c>
      <c r="I32" s="618" t="str">
        <f>IF(E32&lt;0,"Il valore deve essere maggiore o uguale a zero","")</f>
        <v/>
      </c>
      <c r="J32" s="31"/>
      <c r="K32" s="40">
        <f t="shared" si="0"/>
        <v>0</v>
      </c>
      <c r="L32" s="40">
        <f t="shared" si="1"/>
        <v>0</v>
      </c>
    </row>
    <row r="33" spans="1:12" s="44" customFormat="1" ht="25.35" customHeight="1" x14ac:dyDescent="0.25">
      <c r="A33" s="243" t="s">
        <v>705</v>
      </c>
      <c r="B33" s="139" t="s">
        <v>695</v>
      </c>
      <c r="C33" s="233" t="s">
        <v>167</v>
      </c>
      <c r="D33" s="26">
        <v>317</v>
      </c>
      <c r="E33" s="351">
        <v>408</v>
      </c>
      <c r="F33" s="348" t="s">
        <v>671</v>
      </c>
      <c r="G33" s="31"/>
      <c r="H33" s="617" t="str">
        <f>IF(OR(D33&lt;0,D33&gt;D32),"Il valore deve essere maggiore o uguale a zero e minore o uguale di Al_3000+","")</f>
        <v/>
      </c>
      <c r="I33" s="618" t="str">
        <f>IF(OR(E33&lt;0,E33&gt;E32),"Il valore deve essere maggiore o uguale a zero e minore o uguale di Al_3000+","")</f>
        <v/>
      </c>
      <c r="J33" s="31"/>
      <c r="K33" s="40">
        <f t="shared" si="0"/>
        <v>0</v>
      </c>
      <c r="L33" s="40">
        <f t="shared" si="1"/>
        <v>0</v>
      </c>
    </row>
    <row r="34" spans="1:12" s="44" customFormat="1" ht="30" customHeight="1" x14ac:dyDescent="0.25">
      <c r="A34" s="268" t="s">
        <v>706</v>
      </c>
      <c r="B34" s="148" t="s">
        <v>707</v>
      </c>
      <c r="C34" s="269" t="s">
        <v>167</v>
      </c>
      <c r="D34" s="26">
        <v>104447</v>
      </c>
      <c r="E34" s="351">
        <v>110552</v>
      </c>
      <c r="F34" s="348" t="s">
        <v>708</v>
      </c>
      <c r="G34" s="31"/>
      <c r="H34" s="617" t="str">
        <f>IF(D34&lt;0,"Il valore deve essere maggiore o uguale a zero","")</f>
        <v/>
      </c>
      <c r="I34" s="618" t="str">
        <f>IF(E34&lt;0,"Il valore deve essere maggiore o uguale a zero","")</f>
        <v/>
      </c>
      <c r="J34" s="31"/>
      <c r="K34" s="40">
        <f t="shared" si="0"/>
        <v>0</v>
      </c>
      <c r="L34" s="40">
        <f t="shared" si="1"/>
        <v>0</v>
      </c>
    </row>
    <row r="35" spans="1:12" s="44" customFormat="1" ht="25.35" customHeight="1" x14ac:dyDescent="0.25">
      <c r="A35" s="268" t="s">
        <v>709</v>
      </c>
      <c r="B35" s="270" t="s">
        <v>710</v>
      </c>
      <c r="C35" s="269" t="s">
        <v>167</v>
      </c>
      <c r="D35" s="26">
        <v>13565</v>
      </c>
      <c r="E35" s="351">
        <v>14143</v>
      </c>
      <c r="F35" s="348"/>
      <c r="G35" s="31"/>
      <c r="H35" s="658" t="str">
        <f>IF(OR(D35&lt;&gt;"",D36&lt;&gt;"",D37&lt;&gt;"",D38&lt;&gt;""),IF(OR(D35&lt;0,D36&lt;0,D37&lt;0,D38&lt;0,D35+D36+D37+D38&lt;&gt;D34),"Ogni di cui deve essere maggiore o uguale a zero e la somma deve essere pari a Mis_ut",""),"")</f>
        <v/>
      </c>
      <c r="I35" s="659" t="str">
        <f>IF(OR(E35&lt;&gt;"",E36&lt;&gt;"",E37&lt;&gt;"",E38&lt;&gt;""),IF(OR(E35&lt;0,E36&lt;0,E37&lt;0,E38&lt;0,E35+E36+E37+E38&lt;&gt;E34),"Ogni di cui deve essere maggiore o uguale a zero e la somma deve essere pari a Mis_ut",""),"")</f>
        <v/>
      </c>
      <c r="J35" s="31"/>
      <c r="K35" s="40">
        <f t="shared" ref="K35:K66" si="2">IF(H35="",0,1)</f>
        <v>0</v>
      </c>
      <c r="L35" s="40">
        <f t="shared" ref="L35:L66" si="3">IF(I35="",0,1)</f>
        <v>0</v>
      </c>
    </row>
    <row r="36" spans="1:12" s="44" customFormat="1" ht="25.35" customHeight="1" x14ac:dyDescent="0.25">
      <c r="A36" s="268" t="s">
        <v>711</v>
      </c>
      <c r="B36" s="270" t="s">
        <v>712</v>
      </c>
      <c r="C36" s="269" t="s">
        <v>167</v>
      </c>
      <c r="D36" s="26">
        <v>16796</v>
      </c>
      <c r="E36" s="351">
        <v>12589</v>
      </c>
      <c r="F36" s="348"/>
      <c r="G36" s="31"/>
      <c r="H36" s="658"/>
      <c r="I36" s="659"/>
      <c r="J36" s="31"/>
      <c r="K36" s="40">
        <f t="shared" si="2"/>
        <v>0</v>
      </c>
      <c r="L36" s="40">
        <f t="shared" si="3"/>
        <v>0</v>
      </c>
    </row>
    <row r="37" spans="1:12" s="44" customFormat="1" ht="25.35" customHeight="1" x14ac:dyDescent="0.25">
      <c r="A37" s="268" t="s">
        <v>713</v>
      </c>
      <c r="B37" s="270" t="s">
        <v>714</v>
      </c>
      <c r="C37" s="269" t="s">
        <v>167</v>
      </c>
      <c r="D37" s="26">
        <v>20812</v>
      </c>
      <c r="E37" s="351">
        <v>25350</v>
      </c>
      <c r="F37" s="348"/>
      <c r="G37" s="31"/>
      <c r="H37" s="658"/>
      <c r="I37" s="659"/>
      <c r="J37" s="31"/>
      <c r="K37" s="40">
        <f t="shared" si="2"/>
        <v>0</v>
      </c>
      <c r="L37" s="40">
        <f t="shared" si="3"/>
        <v>0</v>
      </c>
    </row>
    <row r="38" spans="1:12" s="44" customFormat="1" ht="25.35" customHeight="1" x14ac:dyDescent="0.25">
      <c r="A38" s="268" t="s">
        <v>715</v>
      </c>
      <c r="B38" s="270" t="s">
        <v>716</v>
      </c>
      <c r="C38" s="269" t="s">
        <v>167</v>
      </c>
      <c r="D38" s="26">
        <v>53274</v>
      </c>
      <c r="E38" s="351">
        <v>58470</v>
      </c>
      <c r="F38" s="348"/>
      <c r="G38" s="31"/>
      <c r="H38" s="658"/>
      <c r="I38" s="659"/>
      <c r="J38" s="31"/>
      <c r="K38" s="40">
        <f t="shared" si="2"/>
        <v>0</v>
      </c>
      <c r="L38" s="40">
        <f t="shared" si="3"/>
        <v>0</v>
      </c>
    </row>
    <row r="39" spans="1:12" s="44" customFormat="1" ht="30" customHeight="1" x14ac:dyDescent="0.25">
      <c r="A39" s="243" t="s">
        <v>706</v>
      </c>
      <c r="B39" s="138" t="s">
        <v>707</v>
      </c>
      <c r="C39" s="233" t="s">
        <v>167</v>
      </c>
      <c r="D39" s="245">
        <f>D34</f>
        <v>104447</v>
      </c>
      <c r="E39" s="360">
        <f>E34</f>
        <v>110552</v>
      </c>
      <c r="F39" s="348"/>
      <c r="G39" s="31"/>
      <c r="H39" s="225"/>
      <c r="I39" s="377"/>
      <c r="J39" s="31"/>
      <c r="K39" s="40">
        <f t="shared" si="2"/>
        <v>0</v>
      </c>
      <c r="L39" s="40">
        <f t="shared" si="3"/>
        <v>0</v>
      </c>
    </row>
    <row r="40" spans="1:12" s="44" customFormat="1" ht="25.35" customHeight="1" x14ac:dyDescent="0.25">
      <c r="A40" s="243" t="s">
        <v>717</v>
      </c>
      <c r="B40" s="150" t="s">
        <v>718</v>
      </c>
      <c r="C40" s="233" t="s">
        <v>167</v>
      </c>
      <c r="D40" s="26">
        <v>74086</v>
      </c>
      <c r="E40" s="351">
        <v>83820</v>
      </c>
      <c r="F40" s="355"/>
      <c r="G40" s="31"/>
      <c r="H40" s="658" t="str">
        <f>IF(OR(D40&lt;0,D41&lt;0,(D40+D41)&gt;D39),"Ogni di cui deve essere maggiore o uguale a zero e la somma deve essere minore o uguale a Mis_ut","")</f>
        <v/>
      </c>
      <c r="I40" s="659" t="str">
        <f>IF(OR(E40&lt;0,E41&lt;0,(E40+E41)&gt;E39),"Ogni di cui deve essere maggiore o uguale a zero e la somma deve essere minore o uguale a Mis_ut","")</f>
        <v/>
      </c>
      <c r="J40" s="31"/>
      <c r="K40" s="40">
        <f t="shared" si="2"/>
        <v>0</v>
      </c>
      <c r="L40" s="40">
        <f t="shared" si="3"/>
        <v>0</v>
      </c>
    </row>
    <row r="41" spans="1:12" s="44" customFormat="1" ht="25.35" customHeight="1" x14ac:dyDescent="0.25">
      <c r="A41" s="271" t="s">
        <v>719</v>
      </c>
      <c r="B41" s="272" t="s">
        <v>720</v>
      </c>
      <c r="C41" s="273" t="s">
        <v>167</v>
      </c>
      <c r="D41" s="274">
        <v>0</v>
      </c>
      <c r="E41" s="361">
        <v>0</v>
      </c>
      <c r="F41" s="356"/>
      <c r="G41" s="31"/>
      <c r="H41" s="660"/>
      <c r="I41" s="661"/>
      <c r="J41" s="31"/>
      <c r="K41" s="40">
        <f t="shared" si="2"/>
        <v>0</v>
      </c>
      <c r="L41" s="40">
        <f t="shared" si="3"/>
        <v>0</v>
      </c>
    </row>
    <row r="42" spans="1:12" s="44" customFormat="1" ht="10.35" customHeight="1" x14ac:dyDescent="0.25">
      <c r="A42" s="41"/>
      <c r="B42" s="42"/>
      <c r="C42" s="41"/>
      <c r="D42" s="41"/>
      <c r="E42" s="41"/>
      <c r="F42" s="203"/>
      <c r="G42" s="31"/>
      <c r="H42" s="43"/>
      <c r="I42" s="43"/>
      <c r="J42" s="31"/>
      <c r="K42" s="40">
        <f t="shared" si="2"/>
        <v>0</v>
      </c>
      <c r="L42" s="40">
        <f t="shared" si="3"/>
        <v>0</v>
      </c>
    </row>
    <row r="43" spans="1:12" s="44" customFormat="1" ht="17.25" x14ac:dyDescent="0.25">
      <c r="A43" s="45" t="s">
        <v>721</v>
      </c>
      <c r="B43" s="42"/>
      <c r="C43" s="41"/>
      <c r="D43" s="41"/>
      <c r="E43" s="41"/>
      <c r="F43" s="203"/>
      <c r="G43" s="31"/>
      <c r="H43" s="43"/>
      <c r="I43" s="43"/>
      <c r="J43" s="31"/>
      <c r="K43" s="40">
        <f t="shared" si="2"/>
        <v>0</v>
      </c>
      <c r="L43" s="40">
        <f t="shared" si="3"/>
        <v>0</v>
      </c>
    </row>
    <row r="44" spans="1:12" ht="32.1" customHeight="1" x14ac:dyDescent="0.25">
      <c r="A44" s="519" t="s">
        <v>722</v>
      </c>
      <c r="B44" s="47" t="s">
        <v>723</v>
      </c>
      <c r="C44" s="353" t="s">
        <v>167</v>
      </c>
      <c r="D44" s="3">
        <v>656</v>
      </c>
      <c r="E44" s="350">
        <v>655</v>
      </c>
      <c r="F44" s="364" t="s">
        <v>724</v>
      </c>
      <c r="H44" s="212" t="str">
        <f>IF(D44&lt;0,"Il valore deve essere maggiore o uguale a zero","")</f>
        <v/>
      </c>
      <c r="I44" s="372" t="str">
        <f>IF(E44&lt;0,"Il valore deve essere maggiore o uguale a zero","")</f>
        <v/>
      </c>
      <c r="K44" s="40">
        <f t="shared" si="2"/>
        <v>0</v>
      </c>
      <c r="L44" s="40">
        <f t="shared" si="3"/>
        <v>0</v>
      </c>
    </row>
    <row r="45" spans="1:12" ht="32.1" customHeight="1" x14ac:dyDescent="0.25">
      <c r="A45" s="509" t="s">
        <v>725</v>
      </c>
      <c r="B45" s="109" t="s">
        <v>726</v>
      </c>
      <c r="C45" s="354" t="s">
        <v>167</v>
      </c>
      <c r="D45" s="183">
        <v>30</v>
      </c>
      <c r="E45" s="369">
        <v>30</v>
      </c>
      <c r="F45" s="365" t="s">
        <v>727</v>
      </c>
      <c r="H45" s="617" t="str">
        <f>IF(D45&lt;0,"Il valore deve essere maggiore o uguale a zero","")</f>
        <v/>
      </c>
      <c r="I45" s="618" t="str">
        <f>IF(E45&lt;0,"Il valore deve essere maggiore o uguale a zero","")</f>
        <v/>
      </c>
      <c r="K45" s="40">
        <f t="shared" si="2"/>
        <v>0</v>
      </c>
      <c r="L45" s="40">
        <f t="shared" si="3"/>
        <v>0</v>
      </c>
    </row>
    <row r="46" spans="1:12" s="58" customFormat="1" ht="30.75" customHeight="1" x14ac:dyDescent="0.25">
      <c r="A46" s="509" t="s">
        <v>94</v>
      </c>
      <c r="B46" s="508" t="s">
        <v>728</v>
      </c>
      <c r="C46" s="354" t="s">
        <v>62</v>
      </c>
      <c r="D46" s="245">
        <f>'QT-Acquedotto'!D29</f>
        <v>33103370</v>
      </c>
      <c r="E46" s="360">
        <f>'QT-Acquedotto'!E29</f>
        <v>33958831</v>
      </c>
      <c r="F46" s="366"/>
      <c r="G46" s="57"/>
      <c r="H46" s="244"/>
      <c r="I46" s="373"/>
      <c r="J46" s="57"/>
      <c r="K46" s="40">
        <f t="shared" si="2"/>
        <v>0</v>
      </c>
      <c r="L46" s="40">
        <f t="shared" si="3"/>
        <v>0</v>
      </c>
    </row>
    <row r="47" spans="1:12" s="58" customFormat="1" ht="21.95" customHeight="1" x14ac:dyDescent="0.25">
      <c r="A47" s="509" t="s">
        <v>729</v>
      </c>
      <c r="B47" s="522" t="s">
        <v>730</v>
      </c>
      <c r="C47" s="354" t="s">
        <v>62</v>
      </c>
      <c r="D47" s="26">
        <v>3083858</v>
      </c>
      <c r="E47" s="351">
        <v>2998914</v>
      </c>
      <c r="F47" s="366"/>
      <c r="G47" s="57"/>
      <c r="H47" s="672" t="str">
        <f>IF(OR(D47&lt;0,D48&lt;0,D49&lt;0,D50&lt;0,D47+D48+D49+D50&lt;&gt;D46),"Ogni di cui deve essere maggiore o uguale a zero e la somma deve essere pari a WAM","")</f>
        <v/>
      </c>
      <c r="I47" s="673" t="str">
        <f>IF(OR(E47&lt;0,E48&lt;0,E49&lt;0,E50&lt;0,E47+E48+E49+E50&lt;&gt;E46),"Ogni di cui deve essere maggiore o uguale a zero e la somma deve essere pari a WAM","")</f>
        <v/>
      </c>
      <c r="J47" s="57"/>
      <c r="K47" s="40">
        <f t="shared" si="2"/>
        <v>0</v>
      </c>
      <c r="L47" s="40">
        <f t="shared" si="3"/>
        <v>0</v>
      </c>
    </row>
    <row r="48" spans="1:12" s="58" customFormat="1" ht="21.95" customHeight="1" x14ac:dyDescent="0.25">
      <c r="A48" s="509" t="s">
        <v>731</v>
      </c>
      <c r="B48" s="522" t="s">
        <v>732</v>
      </c>
      <c r="C48" s="354" t="s">
        <v>62</v>
      </c>
      <c r="D48" s="26">
        <v>27255597</v>
      </c>
      <c r="E48" s="351">
        <v>28064850</v>
      </c>
      <c r="F48" s="366"/>
      <c r="G48" s="57"/>
      <c r="H48" s="672"/>
      <c r="I48" s="673"/>
      <c r="J48" s="57"/>
      <c r="K48" s="40">
        <f t="shared" si="2"/>
        <v>0</v>
      </c>
      <c r="L48" s="40">
        <f t="shared" si="3"/>
        <v>0</v>
      </c>
    </row>
    <row r="49" spans="1:12" s="58" customFormat="1" ht="21.95" customHeight="1" x14ac:dyDescent="0.25">
      <c r="A49" s="509" t="s">
        <v>733</v>
      </c>
      <c r="B49" s="522" t="s">
        <v>734</v>
      </c>
      <c r="C49" s="354" t="s">
        <v>62</v>
      </c>
      <c r="D49" s="26">
        <v>2763915</v>
      </c>
      <c r="E49" s="351">
        <v>2895067</v>
      </c>
      <c r="F49" s="366"/>
      <c r="G49" s="57"/>
      <c r="H49" s="672"/>
      <c r="I49" s="673"/>
      <c r="J49" s="57"/>
      <c r="K49" s="40">
        <f t="shared" si="2"/>
        <v>0</v>
      </c>
      <c r="L49" s="40">
        <f t="shared" si="3"/>
        <v>0</v>
      </c>
    </row>
    <row r="50" spans="1:12" s="58" customFormat="1" ht="21.95" customHeight="1" x14ac:dyDescent="0.25">
      <c r="A50" s="509" t="s">
        <v>735</v>
      </c>
      <c r="B50" s="522" t="s">
        <v>736</v>
      </c>
      <c r="C50" s="354" t="s">
        <v>62</v>
      </c>
      <c r="D50" s="26">
        <v>0</v>
      </c>
      <c r="E50" s="351">
        <v>0</v>
      </c>
      <c r="F50" s="366"/>
      <c r="G50" s="57"/>
      <c r="H50" s="672"/>
      <c r="I50" s="673"/>
      <c r="J50" s="57"/>
      <c r="K50" s="40">
        <f t="shared" si="2"/>
        <v>0</v>
      </c>
      <c r="L50" s="40">
        <f t="shared" si="3"/>
        <v>0</v>
      </c>
    </row>
    <row r="51" spans="1:12" ht="45" customHeight="1" x14ac:dyDescent="0.25">
      <c r="A51" s="509" t="s">
        <v>737</v>
      </c>
      <c r="B51" s="109" t="s">
        <v>738</v>
      </c>
      <c r="C51" s="354" t="s">
        <v>62</v>
      </c>
      <c r="D51" s="26">
        <v>8072399.6100000013</v>
      </c>
      <c r="E51" s="351">
        <v>8209684</v>
      </c>
      <c r="F51" s="365" t="s">
        <v>739</v>
      </c>
      <c r="H51" s="617" t="str">
        <f>IF(OR(D51&lt;0,D51&gt;'QT-Acquedotto'!D27),"Il valore deve essere maggiore o uguale a zero e minore di ∑WIN","")</f>
        <v/>
      </c>
      <c r="I51" s="618" t="str">
        <f>IF(OR(E51&lt;0,E51&gt;'QT-Acquedotto'!E27),"Il valore deve essere maggiore o uguale a zero e minore di ∑WIN","")</f>
        <v/>
      </c>
      <c r="K51" s="40">
        <f t="shared" si="2"/>
        <v>0</v>
      </c>
      <c r="L51" s="40">
        <f t="shared" si="3"/>
        <v>0</v>
      </c>
    </row>
    <row r="52" spans="1:12" ht="25.35" customHeight="1" x14ac:dyDescent="0.25">
      <c r="A52" s="509" t="s">
        <v>740</v>
      </c>
      <c r="B52" s="147" t="s">
        <v>741</v>
      </c>
      <c r="C52" s="354" t="s">
        <v>62</v>
      </c>
      <c r="D52" s="183">
        <v>0</v>
      </c>
      <c r="E52" s="369">
        <v>0</v>
      </c>
      <c r="F52" s="365" t="s">
        <v>742</v>
      </c>
      <c r="H52" s="672" t="str">
        <f>IF(OR(D52&lt;&gt;"",D53&lt;&gt;"",D54&lt;&gt;""),IF(OR(D52&lt;0,D53&lt;0,D54&lt;0,D52+D53+D54&lt;&gt;D51),"Ogni di cui deve essere maggiore o uguale a zero e la somma deve essere pari a WA6",""),"")</f>
        <v/>
      </c>
      <c r="I52" s="673" t="str">
        <f>IF(OR(E52&lt;&gt;"",E53&lt;&gt;"",E54&lt;&gt;""),IF(OR(E52&lt;0,E53&lt;0,E54&lt;0,E52+E53+E54&lt;&gt;E51),"Ogni di cui deve essere maggiore o uguale a zero e la somma deve essere pari a WA6",""),"")</f>
        <v/>
      </c>
      <c r="K52" s="40">
        <f t="shared" si="2"/>
        <v>0</v>
      </c>
      <c r="L52" s="40">
        <f t="shared" si="3"/>
        <v>0</v>
      </c>
    </row>
    <row r="53" spans="1:12" ht="30" customHeight="1" x14ac:dyDescent="0.25">
      <c r="A53" s="509" t="s">
        <v>743</v>
      </c>
      <c r="B53" s="147" t="s">
        <v>744</v>
      </c>
      <c r="C53" s="354" t="s">
        <v>62</v>
      </c>
      <c r="D53" s="183">
        <v>5716667.6100000003</v>
      </c>
      <c r="E53" s="369">
        <v>5311512</v>
      </c>
      <c r="F53" s="365" t="s">
        <v>745</v>
      </c>
      <c r="H53" s="672"/>
      <c r="I53" s="673"/>
      <c r="K53" s="40">
        <f t="shared" si="2"/>
        <v>0</v>
      </c>
      <c r="L53" s="40">
        <f t="shared" si="3"/>
        <v>0</v>
      </c>
    </row>
    <row r="54" spans="1:12" ht="38.25" x14ac:dyDescent="0.25">
      <c r="A54" s="523" t="s">
        <v>746</v>
      </c>
      <c r="B54" s="524" t="s">
        <v>747</v>
      </c>
      <c r="C54" s="362" t="s">
        <v>62</v>
      </c>
      <c r="D54" s="183">
        <v>2355732</v>
      </c>
      <c r="E54" s="369">
        <v>2898172</v>
      </c>
      <c r="F54" s="367" t="s">
        <v>748</v>
      </c>
      <c r="H54" s="672"/>
      <c r="I54" s="673"/>
      <c r="K54" s="40">
        <f t="shared" si="2"/>
        <v>0</v>
      </c>
      <c r="L54" s="40">
        <f t="shared" si="3"/>
        <v>0</v>
      </c>
    </row>
    <row r="55" spans="1:12" s="44" customFormat="1" ht="32.1" customHeight="1" x14ac:dyDescent="0.25">
      <c r="A55" s="237" t="s">
        <v>165</v>
      </c>
      <c r="B55" s="109" t="s">
        <v>166</v>
      </c>
      <c r="C55" s="346" t="s">
        <v>167</v>
      </c>
      <c r="D55" s="245">
        <f>'QT-Acquedotto'!D59</f>
        <v>105209</v>
      </c>
      <c r="E55" s="360">
        <f>'QT-Acquedotto'!E59</f>
        <v>105749</v>
      </c>
      <c r="F55" s="348"/>
      <c r="G55" s="31"/>
      <c r="H55" s="210"/>
      <c r="I55" s="374"/>
      <c r="J55" s="31"/>
      <c r="K55" s="40">
        <f t="shared" si="2"/>
        <v>0</v>
      </c>
      <c r="L55" s="40">
        <f t="shared" si="3"/>
        <v>0</v>
      </c>
    </row>
    <row r="56" spans="1:12" s="44" customFormat="1" ht="70.349999999999994" customHeight="1" x14ac:dyDescent="0.25">
      <c r="A56" s="237" t="s">
        <v>749</v>
      </c>
      <c r="B56" s="257" t="s">
        <v>750</v>
      </c>
      <c r="C56" s="363" t="s">
        <v>167</v>
      </c>
      <c r="D56" s="183">
        <v>14217</v>
      </c>
      <c r="E56" s="369">
        <v>15359</v>
      </c>
      <c r="F56" s="365" t="s">
        <v>751</v>
      </c>
      <c r="G56" s="31"/>
      <c r="H56" s="617" t="str">
        <f>IF(OR(D56&lt;0,D56&gt;D55),"Il valore deve essere maggiore o uguale a zero e minore di UtT","")</f>
        <v/>
      </c>
      <c r="I56" s="618" t="str">
        <f>IF(OR(E56&lt;0,E56&gt;E55),"Il valore deve essere maggiore o uguale a zero e minore di UtT","")</f>
        <v/>
      </c>
      <c r="J56" s="31"/>
      <c r="K56" s="40">
        <f t="shared" si="2"/>
        <v>0</v>
      </c>
      <c r="L56" s="40">
        <f t="shared" si="3"/>
        <v>0</v>
      </c>
    </row>
    <row r="57" spans="1:12" ht="30" customHeight="1" x14ac:dyDescent="0.25">
      <c r="A57" s="237" t="s">
        <v>752</v>
      </c>
      <c r="B57" s="109" t="s">
        <v>753</v>
      </c>
      <c r="C57" s="354" t="s">
        <v>167</v>
      </c>
      <c r="D57" s="26"/>
      <c r="E57" s="351"/>
      <c r="F57" s="348"/>
      <c r="H57" s="617" t="str">
        <f>IF(D57&lt;0,"Il valore deve essere maggiore o uguale a zero","")</f>
        <v/>
      </c>
      <c r="I57" s="618" t="str">
        <f>IF(E57&lt;0,"Il valore deve essere maggiore o uguale a zero","")</f>
        <v/>
      </c>
      <c r="K57" s="40">
        <f t="shared" si="2"/>
        <v>0</v>
      </c>
      <c r="L57" s="40">
        <f t="shared" si="3"/>
        <v>0</v>
      </c>
    </row>
    <row r="58" spans="1:12" ht="45" customHeight="1" x14ac:dyDescent="0.25">
      <c r="A58" s="525" t="s">
        <v>754</v>
      </c>
      <c r="B58" s="526" t="s">
        <v>755</v>
      </c>
      <c r="C58" s="363" t="s">
        <v>129</v>
      </c>
      <c r="D58" s="275"/>
      <c r="E58" s="370"/>
      <c r="F58" s="368" t="s">
        <v>756</v>
      </c>
      <c r="G58" s="73"/>
      <c r="H58" s="617" t="str">
        <f>IF(D58&lt;0,"Il valore deve essere maggiore o uguale a zero",IF(D58&gt;'QT-Acquedotto'!D43,"Attenzione: il valore è superiore a Ld - verificare o motivare in relazione",""))</f>
        <v/>
      </c>
      <c r="I58" s="618" t="str">
        <f>IF(E58&lt;0,"Il valore deve essere maggiore o uguale a zero",IF(E58&gt;'QT-Acquedotto'!E43,"Attenzione: il valore è superiore a Ld - verificare o motivare in relazione",""))</f>
        <v/>
      </c>
      <c r="K58" s="40">
        <f t="shared" si="2"/>
        <v>0</v>
      </c>
      <c r="L58" s="40">
        <f t="shared" si="3"/>
        <v>0</v>
      </c>
    </row>
    <row r="59" spans="1:12" ht="73.150000000000006" customHeight="1" x14ac:dyDescent="0.25">
      <c r="A59" s="525" t="s">
        <v>757</v>
      </c>
      <c r="B59" s="594" t="s">
        <v>758</v>
      </c>
      <c r="C59" s="354" t="s">
        <v>129</v>
      </c>
      <c r="D59" s="275"/>
      <c r="E59" s="370"/>
      <c r="F59" s="368" t="s">
        <v>759</v>
      </c>
      <c r="G59" s="73"/>
      <c r="H59" s="617" t="str">
        <f>IF(OR(D59&lt;0,D59&gt;D58),"Il valore deve essere maggiore o uguale a zero e minore o uguale a Lall","")</f>
        <v/>
      </c>
      <c r="I59" s="618" t="str">
        <f>IF(OR(E59&lt;0,E59&gt;E58),"Il valore deve essere maggiore o uguale a zero e minore o uguale a Lall","")</f>
        <v/>
      </c>
      <c r="K59" s="40">
        <f t="shared" si="2"/>
        <v>0</v>
      </c>
      <c r="L59" s="40">
        <f t="shared" si="3"/>
        <v>0</v>
      </c>
    </row>
    <row r="60" spans="1:12" ht="35.25" customHeight="1" x14ac:dyDescent="0.25">
      <c r="A60" s="509" t="s">
        <v>127</v>
      </c>
      <c r="B60" s="109" t="s">
        <v>128</v>
      </c>
      <c r="C60" s="354" t="s">
        <v>129</v>
      </c>
      <c r="D60" s="180">
        <f>'QT-Acquedotto'!D41</f>
        <v>4528.9953513691535</v>
      </c>
      <c r="E60" s="371">
        <f>'QT-Acquedotto'!E41</f>
        <v>4545.07</v>
      </c>
      <c r="F60" s="348"/>
      <c r="H60" s="210"/>
      <c r="I60" s="374"/>
      <c r="K60" s="40">
        <f t="shared" si="2"/>
        <v>0</v>
      </c>
      <c r="L60" s="40">
        <f t="shared" si="3"/>
        <v>0</v>
      </c>
    </row>
    <row r="61" spans="1:12" ht="25.35" customHeight="1" x14ac:dyDescent="0.25">
      <c r="A61" s="509" t="s">
        <v>760</v>
      </c>
      <c r="B61" s="527" t="s">
        <v>761</v>
      </c>
      <c r="C61" s="363" t="s">
        <v>129</v>
      </c>
      <c r="D61" s="183"/>
      <c r="E61" s="369"/>
      <c r="F61" s="348"/>
      <c r="H61" s="672" t="str">
        <f>IF(OR(D61&lt;0,D62&lt;0,D63&lt;0,D64&lt;0,D65&lt;0,D66&lt;0,D61+D62+D63+D64+D65+D66&lt;&gt;D60),"Ogni di cui deve essere maggiore o uguale a zero e la somma deve essere pari a Lp","")</f>
        <v/>
      </c>
      <c r="I61" s="673" t="str">
        <f>IF(OR(E61&lt;0,E62&lt;0,E63&lt;0,E64&lt;0,E65&lt;0,E66&lt;0,E61+E62+E63+E64+E65+E66&lt;&gt;E60),"Ogni di cui deve essere maggiore o uguale a zero e la somma deve essere pari a Lp","")</f>
        <v/>
      </c>
      <c r="K61" s="40">
        <f t="shared" si="2"/>
        <v>0</v>
      </c>
      <c r="L61" s="40">
        <f t="shared" si="3"/>
        <v>0</v>
      </c>
    </row>
    <row r="62" spans="1:12" ht="25.35" customHeight="1" x14ac:dyDescent="0.25">
      <c r="A62" s="509" t="s">
        <v>762</v>
      </c>
      <c r="B62" s="527" t="s">
        <v>763</v>
      </c>
      <c r="C62" s="363" t="s">
        <v>129</v>
      </c>
      <c r="D62" s="183"/>
      <c r="E62" s="369"/>
      <c r="F62" s="348"/>
      <c r="H62" s="672"/>
      <c r="I62" s="673"/>
      <c r="K62" s="40">
        <f t="shared" si="2"/>
        <v>0</v>
      </c>
      <c r="L62" s="40">
        <f t="shared" si="3"/>
        <v>0</v>
      </c>
    </row>
    <row r="63" spans="1:12" ht="25.35" customHeight="1" x14ac:dyDescent="0.25">
      <c r="A63" s="509" t="s">
        <v>764</v>
      </c>
      <c r="B63" s="527" t="s">
        <v>765</v>
      </c>
      <c r="C63" s="363" t="s">
        <v>129</v>
      </c>
      <c r="D63" s="183"/>
      <c r="E63" s="369"/>
      <c r="F63" s="348"/>
      <c r="H63" s="672"/>
      <c r="I63" s="673"/>
      <c r="K63" s="40">
        <f t="shared" si="2"/>
        <v>0</v>
      </c>
      <c r="L63" s="40">
        <f t="shared" si="3"/>
        <v>0</v>
      </c>
    </row>
    <row r="64" spans="1:12" ht="25.35" customHeight="1" x14ac:dyDescent="0.25">
      <c r="A64" s="509" t="s">
        <v>766</v>
      </c>
      <c r="B64" s="527" t="s">
        <v>767</v>
      </c>
      <c r="C64" s="363" t="s">
        <v>129</v>
      </c>
      <c r="D64" s="183"/>
      <c r="E64" s="369"/>
      <c r="F64" s="348"/>
      <c r="H64" s="672"/>
      <c r="I64" s="673"/>
      <c r="K64" s="40">
        <f t="shared" si="2"/>
        <v>0</v>
      </c>
      <c r="L64" s="40">
        <f t="shared" si="3"/>
        <v>0</v>
      </c>
    </row>
    <row r="65" spans="1:20" ht="25.35" customHeight="1" x14ac:dyDescent="0.25">
      <c r="A65" s="509" t="s">
        <v>768</v>
      </c>
      <c r="B65" s="527" t="s">
        <v>769</v>
      </c>
      <c r="C65" s="363" t="s">
        <v>129</v>
      </c>
      <c r="D65" s="183"/>
      <c r="E65" s="369"/>
      <c r="F65" s="348"/>
      <c r="H65" s="672"/>
      <c r="I65" s="673"/>
      <c r="K65" s="40">
        <f t="shared" si="2"/>
        <v>0</v>
      </c>
      <c r="L65" s="40">
        <f t="shared" si="3"/>
        <v>0</v>
      </c>
    </row>
    <row r="66" spans="1:20" ht="25.35" customHeight="1" x14ac:dyDescent="0.25">
      <c r="A66" s="509" t="s">
        <v>770</v>
      </c>
      <c r="B66" s="527" t="s">
        <v>771</v>
      </c>
      <c r="C66" s="363" t="s">
        <v>129</v>
      </c>
      <c r="D66" s="180">
        <f>D60-D61-D62-D63-D64-D65</f>
        <v>4528.9953513691535</v>
      </c>
      <c r="E66" s="371">
        <f>E60-E61-E62-E63-E64-E65</f>
        <v>4545.07</v>
      </c>
      <c r="F66" s="348" t="s">
        <v>772</v>
      </c>
      <c r="H66" s="672"/>
      <c r="I66" s="673"/>
      <c r="K66" s="40">
        <f t="shared" si="2"/>
        <v>0</v>
      </c>
      <c r="L66" s="40">
        <f t="shared" si="3"/>
        <v>0</v>
      </c>
    </row>
    <row r="67" spans="1:20" ht="35.25" customHeight="1" x14ac:dyDescent="0.25">
      <c r="A67" s="237" t="s">
        <v>773</v>
      </c>
      <c r="B67" s="109" t="s">
        <v>774</v>
      </c>
      <c r="C67" s="354" t="s">
        <v>129</v>
      </c>
      <c r="D67" s="275">
        <v>4528.9953513691535</v>
      </c>
      <c r="E67" s="370">
        <v>4545.07</v>
      </c>
      <c r="F67" s="348" t="s">
        <v>775</v>
      </c>
      <c r="H67" s="617" t="str">
        <f>IF(OR(D67&lt;0,D67&gt;D60),"Il valore deve essere maggiore o uguale a zero e minore o uguale a Lp","")</f>
        <v/>
      </c>
      <c r="I67" s="618" t="str">
        <f>IF(OR(E67&lt;0,E67&gt;E60),"Il valore deve essere maggiore o uguale a zero e minore o uguale a Lp","")</f>
        <v/>
      </c>
      <c r="K67" s="40">
        <f t="shared" ref="K67:K98" si="4">IF(H67="",0,1)</f>
        <v>0</v>
      </c>
      <c r="L67" s="40">
        <f t="shared" ref="L67:L98" si="5">IF(I67="",0,1)</f>
        <v>0</v>
      </c>
    </row>
    <row r="68" spans="1:20" ht="45" customHeight="1" x14ac:dyDescent="0.25">
      <c r="A68" s="237" t="s">
        <v>776</v>
      </c>
      <c r="B68" s="109" t="s">
        <v>777</v>
      </c>
      <c r="C68" s="354" t="s">
        <v>129</v>
      </c>
      <c r="D68" s="275">
        <v>356.38</v>
      </c>
      <c r="E68" s="370">
        <v>618.01</v>
      </c>
      <c r="F68" s="348" t="s">
        <v>778</v>
      </c>
      <c r="H68" s="617" t="str">
        <f>IF(OR(D68&lt;0,D68&gt;D60),"Il valore deve essere maggiore o uguale a zero e minore o uguale a Lp","")</f>
        <v/>
      </c>
      <c r="I68" s="618" t="str">
        <f>IF(OR(E68&lt;0,E68&gt;E60),"Il valore deve essere maggiore o uguale a zero e minore o uguale a Lp","")</f>
        <v/>
      </c>
      <c r="K68" s="40">
        <f t="shared" si="4"/>
        <v>0</v>
      </c>
      <c r="L68" s="40">
        <f t="shared" si="5"/>
        <v>0</v>
      </c>
    </row>
    <row r="69" spans="1:20" ht="36" customHeight="1" x14ac:dyDescent="0.25">
      <c r="A69" s="237" t="s">
        <v>779</v>
      </c>
      <c r="B69" s="109" t="s">
        <v>780</v>
      </c>
      <c r="C69" s="354" t="s">
        <v>129</v>
      </c>
      <c r="D69" s="275">
        <v>2304.9</v>
      </c>
      <c r="E69" s="370">
        <v>2490.1999999999998</v>
      </c>
      <c r="F69" s="348" t="s">
        <v>781</v>
      </c>
      <c r="H69" s="617" t="str">
        <f>IF(OR(D69&lt;0,D69&gt;'QT-Acquedotto'!D43),"Il valore deve essere maggiore o uguale a zero e minore o uguale a Ld","")</f>
        <v/>
      </c>
      <c r="I69" s="618" t="str">
        <f>IF(OR(E69&lt;0,E69&gt;'QT-Acquedotto'!E43),"Il valore deve essere maggiore o uguale a zero e minore o uguale a Ld","")</f>
        <v/>
      </c>
      <c r="K69" s="40">
        <f t="shared" si="4"/>
        <v>0</v>
      </c>
      <c r="L69" s="40">
        <f t="shared" si="5"/>
        <v>0</v>
      </c>
    </row>
    <row r="70" spans="1:20" ht="30" x14ac:dyDescent="0.25">
      <c r="A70" s="237" t="s">
        <v>782</v>
      </c>
      <c r="B70" s="109" t="s">
        <v>783</v>
      </c>
      <c r="C70" s="354" t="s">
        <v>129</v>
      </c>
      <c r="D70" s="275">
        <v>24</v>
      </c>
      <c r="E70" s="370">
        <v>18.323741500410001</v>
      </c>
      <c r="F70" s="348" t="s">
        <v>784</v>
      </c>
      <c r="H70" s="617" t="str">
        <f>IF(OR(D70&lt;0,D70&gt;D60),"Il valore deve essere maggiore o uguale a zero e minore o uguale a Lp","")</f>
        <v/>
      </c>
      <c r="I70" s="618" t="str">
        <f>IF(OR(E70&lt;0,E70&gt;E60),"Il valore deve essere maggiore o uguale a zero e minore o uguale a Lp","")</f>
        <v/>
      </c>
      <c r="K70" s="40">
        <f t="shared" si="4"/>
        <v>0</v>
      </c>
      <c r="L70" s="40">
        <f t="shared" si="5"/>
        <v>0</v>
      </c>
    </row>
    <row r="71" spans="1:20" ht="30" customHeight="1" thickBot="1" x14ac:dyDescent="0.3">
      <c r="A71" s="528" t="s">
        <v>785</v>
      </c>
      <c r="B71" s="111" t="s">
        <v>786</v>
      </c>
      <c r="C71" s="630" t="s">
        <v>167</v>
      </c>
      <c r="D71" s="274">
        <v>1402</v>
      </c>
      <c r="E71" s="361">
        <v>1300</v>
      </c>
      <c r="F71" s="349" t="s">
        <v>775</v>
      </c>
      <c r="H71" s="211" t="str">
        <f>IF(D71&lt;0,"Il valore deve essere maggiore o uguale a zero","")</f>
        <v/>
      </c>
      <c r="I71" s="375" t="str">
        <f>IF(E71&lt;0,"Il valore deve essere maggiore o uguale a zero","")</f>
        <v/>
      </c>
      <c r="K71" s="40">
        <f t="shared" si="4"/>
        <v>0</v>
      </c>
      <c r="L71" s="40">
        <f t="shared" si="5"/>
        <v>0</v>
      </c>
      <c r="T71" s="74"/>
    </row>
    <row r="72" spans="1:20" s="44" customFormat="1" ht="10.5" customHeight="1" x14ac:dyDescent="0.25">
      <c r="A72" s="91"/>
      <c r="B72" s="92"/>
      <c r="C72" s="93"/>
      <c r="D72" s="94"/>
      <c r="E72" s="94"/>
      <c r="F72" s="95"/>
      <c r="G72" s="84"/>
      <c r="H72" s="96"/>
      <c r="I72" s="96"/>
      <c r="J72" s="84"/>
      <c r="K72" s="40">
        <f t="shared" si="4"/>
        <v>0</v>
      </c>
      <c r="L72" s="40">
        <f t="shared" si="5"/>
        <v>0</v>
      </c>
    </row>
    <row r="73" spans="1:20" s="44" customFormat="1" ht="18" thickBot="1" x14ac:dyDescent="0.3">
      <c r="A73" s="45" t="s">
        <v>787</v>
      </c>
      <c r="B73" s="92"/>
      <c r="C73" s="92"/>
      <c r="D73" s="92"/>
      <c r="E73" s="92"/>
      <c r="F73" s="97"/>
      <c r="G73" s="98"/>
      <c r="H73" s="99"/>
      <c r="I73" s="99"/>
      <c r="J73" s="98"/>
      <c r="K73" s="40">
        <f t="shared" si="4"/>
        <v>0</v>
      </c>
      <c r="L73" s="40">
        <f t="shared" si="5"/>
        <v>0</v>
      </c>
    </row>
    <row r="74" spans="1:20" ht="30" customHeight="1" x14ac:dyDescent="0.25">
      <c r="A74" s="519" t="s">
        <v>413</v>
      </c>
      <c r="B74" s="47" t="s">
        <v>414</v>
      </c>
      <c r="C74" s="56" t="s">
        <v>129</v>
      </c>
      <c r="D74" s="291">
        <f>'QT-Fognatura'!D24</f>
        <v>2181.7376600118414</v>
      </c>
      <c r="E74" s="393">
        <f>'QT-Fognatura'!E24</f>
        <v>2159.7513964668988</v>
      </c>
      <c r="F74" s="347"/>
      <c r="G74" s="100"/>
      <c r="H74" s="220"/>
      <c r="I74" s="376"/>
      <c r="J74" s="100"/>
      <c r="K74" s="40">
        <f t="shared" si="4"/>
        <v>0</v>
      </c>
      <c r="L74" s="40">
        <f t="shared" si="5"/>
        <v>0</v>
      </c>
    </row>
    <row r="75" spans="1:20" ht="25.35" customHeight="1" x14ac:dyDescent="0.25">
      <c r="A75" s="509" t="s">
        <v>788</v>
      </c>
      <c r="B75" s="147" t="s">
        <v>761</v>
      </c>
      <c r="C75" s="233" t="s">
        <v>129</v>
      </c>
      <c r="D75" s="183"/>
      <c r="E75" s="369"/>
      <c r="F75" s="348"/>
      <c r="G75" s="100"/>
      <c r="H75" s="672" t="str">
        <f>IF(OR(D75&lt;0,D76&lt;0,D77&lt;0,D78&lt;0,D79&lt;0,D80&lt;0,D75+D76+D77+D78+D79+D80&lt;&gt;D74),"Ogni di cui deve essere maggiore o uguale a zero e la somma deve essere pari a Lf","")</f>
        <v/>
      </c>
      <c r="I75" s="673" t="str">
        <f>IF(OR(E75&lt;0,E76&lt;0,E77&lt;0,E78&lt;0,E79&lt;0,E80&lt;0,E75+E76+E77+E78+E79+E80&lt;&gt;E74),"Ogni di cui deve essere maggiore o uguale a zero e la somma deve essere pari a Lf","")</f>
        <v/>
      </c>
      <c r="J75" s="100"/>
      <c r="K75" s="40">
        <f t="shared" si="4"/>
        <v>0</v>
      </c>
      <c r="L75" s="40">
        <f t="shared" si="5"/>
        <v>0</v>
      </c>
    </row>
    <row r="76" spans="1:20" ht="25.35" customHeight="1" x14ac:dyDescent="0.25">
      <c r="A76" s="509" t="s">
        <v>789</v>
      </c>
      <c r="B76" s="147" t="s">
        <v>763</v>
      </c>
      <c r="C76" s="233" t="s">
        <v>129</v>
      </c>
      <c r="D76" s="183"/>
      <c r="E76" s="369"/>
      <c r="F76" s="348"/>
      <c r="G76" s="100"/>
      <c r="H76" s="672"/>
      <c r="I76" s="673"/>
      <c r="J76" s="100"/>
      <c r="K76" s="40">
        <f t="shared" si="4"/>
        <v>0</v>
      </c>
      <c r="L76" s="40">
        <f t="shared" si="5"/>
        <v>0</v>
      </c>
    </row>
    <row r="77" spans="1:20" ht="25.35" customHeight="1" x14ac:dyDescent="0.25">
      <c r="A77" s="509" t="s">
        <v>790</v>
      </c>
      <c r="B77" s="147" t="s">
        <v>765</v>
      </c>
      <c r="C77" s="233" t="s">
        <v>129</v>
      </c>
      <c r="D77" s="183"/>
      <c r="E77" s="369"/>
      <c r="F77" s="348"/>
      <c r="G77" s="100"/>
      <c r="H77" s="672"/>
      <c r="I77" s="673"/>
      <c r="J77" s="100"/>
      <c r="K77" s="40">
        <f t="shared" si="4"/>
        <v>0</v>
      </c>
      <c r="L77" s="40">
        <f t="shared" si="5"/>
        <v>0</v>
      </c>
    </row>
    <row r="78" spans="1:20" ht="25.35" customHeight="1" x14ac:dyDescent="0.25">
      <c r="A78" s="509" t="s">
        <v>791</v>
      </c>
      <c r="B78" s="147" t="s">
        <v>767</v>
      </c>
      <c r="C78" s="233" t="s">
        <v>129</v>
      </c>
      <c r="D78" s="183"/>
      <c r="E78" s="369"/>
      <c r="F78" s="348"/>
      <c r="G78" s="100"/>
      <c r="H78" s="672"/>
      <c r="I78" s="673"/>
      <c r="J78" s="100"/>
      <c r="K78" s="40">
        <f t="shared" si="4"/>
        <v>0</v>
      </c>
      <c r="L78" s="40">
        <f t="shared" si="5"/>
        <v>0</v>
      </c>
    </row>
    <row r="79" spans="1:20" ht="25.35" customHeight="1" x14ac:dyDescent="0.25">
      <c r="A79" s="509" t="s">
        <v>792</v>
      </c>
      <c r="B79" s="147" t="s">
        <v>769</v>
      </c>
      <c r="C79" s="233" t="s">
        <v>129</v>
      </c>
      <c r="D79" s="183"/>
      <c r="E79" s="369"/>
      <c r="F79" s="348"/>
      <c r="G79" s="100"/>
      <c r="H79" s="672"/>
      <c r="I79" s="673"/>
      <c r="J79" s="100"/>
      <c r="K79" s="40">
        <f t="shared" si="4"/>
        <v>0</v>
      </c>
      <c r="L79" s="40">
        <f t="shared" si="5"/>
        <v>0</v>
      </c>
    </row>
    <row r="80" spans="1:20" ht="25.35" customHeight="1" x14ac:dyDescent="0.25">
      <c r="A80" s="509" t="s">
        <v>793</v>
      </c>
      <c r="B80" s="147" t="s">
        <v>771</v>
      </c>
      <c r="C80" s="233" t="s">
        <v>129</v>
      </c>
      <c r="D80" s="180">
        <f>D74-D75-D76-D77-D78-D79</f>
        <v>2181.7376600118414</v>
      </c>
      <c r="E80" s="371">
        <f>E74-E75-E76-E77-E78-E79</f>
        <v>2159.7513964668988</v>
      </c>
      <c r="F80" s="348" t="s">
        <v>772</v>
      </c>
      <c r="G80" s="100"/>
      <c r="H80" s="672"/>
      <c r="I80" s="673"/>
      <c r="J80" s="100"/>
      <c r="K80" s="40">
        <f t="shared" si="4"/>
        <v>0</v>
      </c>
      <c r="L80" s="40">
        <f t="shared" si="5"/>
        <v>0</v>
      </c>
    </row>
    <row r="81" spans="1:12" ht="30" customHeight="1" x14ac:dyDescent="0.25">
      <c r="A81" s="231" t="s">
        <v>794</v>
      </c>
      <c r="B81" s="138" t="s">
        <v>795</v>
      </c>
      <c r="C81" s="233" t="s">
        <v>167</v>
      </c>
      <c r="D81" s="169">
        <v>0</v>
      </c>
      <c r="E81" s="394">
        <v>0</v>
      </c>
      <c r="F81" s="348"/>
      <c r="G81"/>
      <c r="H81" s="617" t="str">
        <f>IF(D81&lt;0,"Il valore deve essere maggiore di zero","")</f>
        <v/>
      </c>
      <c r="I81" s="618" t="str">
        <f>IF(E81&lt;0,"Il valore deve essere maggiore di zero","")</f>
        <v/>
      </c>
      <c r="J81" s="100"/>
      <c r="K81" s="40">
        <f t="shared" si="4"/>
        <v>0</v>
      </c>
      <c r="L81" s="40">
        <f t="shared" si="5"/>
        <v>0</v>
      </c>
    </row>
    <row r="82" spans="1:12" ht="35.25" customHeight="1" x14ac:dyDescent="0.25">
      <c r="A82" s="231" t="s">
        <v>796</v>
      </c>
      <c r="B82" s="138" t="s">
        <v>783</v>
      </c>
      <c r="C82" s="233" t="s">
        <v>129</v>
      </c>
      <c r="D82" s="169">
        <v>3.294</v>
      </c>
      <c r="E82" s="394">
        <v>1</v>
      </c>
      <c r="F82" s="348" t="s">
        <v>451</v>
      </c>
      <c r="G82"/>
      <c r="H82" s="617" t="str">
        <f>IF(OR(D82&lt;0,D82&gt;D74),"Il valore deve essere maggiore o uguale a zero e minore o uguale a Lf","")</f>
        <v/>
      </c>
      <c r="I82" s="618" t="str">
        <f>IF(OR(E82&lt;0,E82&gt;E74),"Il valore deve essere maggiore o uguale a zero e minore o uguale a Lf","")</f>
        <v/>
      </c>
      <c r="J82" s="100"/>
      <c r="K82" s="40">
        <f t="shared" si="4"/>
        <v>0</v>
      </c>
      <c r="L82" s="40">
        <f t="shared" si="5"/>
        <v>0</v>
      </c>
    </row>
    <row r="83" spans="1:12" ht="30" customHeight="1" x14ac:dyDescent="0.25">
      <c r="A83" s="231" t="s">
        <v>797</v>
      </c>
      <c r="B83" s="138" t="s">
        <v>798</v>
      </c>
      <c r="C83" s="233" t="s">
        <v>129</v>
      </c>
      <c r="D83" s="169">
        <v>2181.7376600118414</v>
      </c>
      <c r="E83" s="394">
        <v>2159.7513964668988</v>
      </c>
      <c r="F83" s="348" t="s">
        <v>451</v>
      </c>
      <c r="G83"/>
      <c r="H83" s="617" t="str">
        <f>IF(OR(D83&lt;0,D83&gt;D74),"Il valore deve essere maggiore o uguale a zero e minore o uguale a Lf","")</f>
        <v/>
      </c>
      <c r="I83" s="618" t="str">
        <f>IF(OR(E83&lt;0,E83&gt;E74),"Il valore deve essere maggiore o uguale a zero e minore o uguale a Lf","")</f>
        <v/>
      </c>
      <c r="J83" s="100"/>
      <c r="K83" s="40">
        <f t="shared" si="4"/>
        <v>0</v>
      </c>
      <c r="L83" s="40">
        <f t="shared" si="5"/>
        <v>0</v>
      </c>
    </row>
    <row r="84" spans="1:12" ht="32.1" customHeight="1" x14ac:dyDescent="0.25">
      <c r="A84" s="243" t="s">
        <v>799</v>
      </c>
      <c r="B84" s="157" t="s">
        <v>800</v>
      </c>
      <c r="C84" s="233" t="s">
        <v>167</v>
      </c>
      <c r="D84" s="169">
        <v>94056</v>
      </c>
      <c r="E84" s="394">
        <v>93445</v>
      </c>
      <c r="F84" s="365" t="s">
        <v>176</v>
      </c>
      <c r="G84" s="100"/>
      <c r="H84" s="617" t="str">
        <f>IF(D84&lt;0,"Il valore deve essere maggiore di zero","")</f>
        <v/>
      </c>
      <c r="I84" s="618" t="str">
        <f>IF(E84&lt;0,"Il valore deve essere maggiore di zero","")</f>
        <v/>
      </c>
      <c r="J84" s="100"/>
      <c r="K84" s="40">
        <f t="shared" si="4"/>
        <v>0</v>
      </c>
      <c r="L84" s="40">
        <f t="shared" si="5"/>
        <v>0</v>
      </c>
    </row>
    <row r="85" spans="1:12" ht="25.35" customHeight="1" x14ac:dyDescent="0.25">
      <c r="A85" s="243" t="s">
        <v>801</v>
      </c>
      <c r="B85" s="158" t="s">
        <v>802</v>
      </c>
      <c r="C85" s="233" t="s">
        <v>167</v>
      </c>
      <c r="D85" s="169">
        <v>93748</v>
      </c>
      <c r="E85" s="394">
        <v>93138</v>
      </c>
      <c r="F85" s="348" t="s">
        <v>171</v>
      </c>
      <c r="G85" s="100"/>
      <c r="H85" s="658" t="str">
        <f>IF(OR(D85&lt;&gt;"",D86&lt;&gt;""),IF(OR(D85&lt;0,D86&lt;0,D86+D85&lt;&gt;D84),"Ogni di cui deve essere maggiore o uguale a zero e la somma deve essere pari a UtT_FOG",""),"")</f>
        <v/>
      </c>
      <c r="I85" s="659" t="str">
        <f>IF(OR(E85&lt;&gt;"",E86&lt;&gt;""),IF(OR(E85&lt;0,E86&lt;0,E86+E85&lt;&gt;E84),"Ogni di cui deve essere maggiore o uguale a zero e la somma deve essere pari a UtT_FOG",""),"")</f>
        <v/>
      </c>
      <c r="J85" s="100"/>
      <c r="K85" s="40">
        <f t="shared" si="4"/>
        <v>0</v>
      </c>
      <c r="L85" s="40">
        <f t="shared" si="5"/>
        <v>0</v>
      </c>
    </row>
    <row r="86" spans="1:12" ht="25.35" customHeight="1" x14ac:dyDescent="0.25">
      <c r="A86" s="243" t="s">
        <v>803</v>
      </c>
      <c r="B86" s="159" t="s">
        <v>804</v>
      </c>
      <c r="C86" s="233" t="s">
        <v>167</v>
      </c>
      <c r="D86" s="169">
        <v>308</v>
      </c>
      <c r="E86" s="394">
        <v>307</v>
      </c>
      <c r="F86" s="348" t="s">
        <v>805</v>
      </c>
      <c r="G86" s="100"/>
      <c r="H86" s="658"/>
      <c r="I86" s="659"/>
      <c r="J86" s="100"/>
      <c r="K86" s="40">
        <f t="shared" si="4"/>
        <v>0</v>
      </c>
      <c r="L86" s="40">
        <f t="shared" si="5"/>
        <v>0</v>
      </c>
    </row>
    <row r="87" spans="1:12" ht="25.35" customHeight="1" x14ac:dyDescent="0.25">
      <c r="A87" s="243" t="s">
        <v>806</v>
      </c>
      <c r="B87" s="161" t="s">
        <v>807</v>
      </c>
      <c r="C87" s="233" t="s">
        <v>167</v>
      </c>
      <c r="D87" s="169">
        <v>52</v>
      </c>
      <c r="E87" s="394">
        <v>57</v>
      </c>
      <c r="F87" s="348"/>
      <c r="G87" s="100"/>
      <c r="H87" s="617" t="str">
        <f>IF(OR(D87&lt;0,D87&gt;D86),"Il valore deve essere maggiore o uguale a zero e minore o uguale a UtT_FOG,ind","")</f>
        <v/>
      </c>
      <c r="I87" s="618" t="str">
        <f>IF(OR(E87&lt;0,E87&gt;E86),"Il valore deve essere maggiore o uguale a zero e minore o uguale a UtT_FOG,ind","")</f>
        <v/>
      </c>
      <c r="J87" s="100"/>
      <c r="K87" s="40">
        <f t="shared" si="4"/>
        <v>0</v>
      </c>
      <c r="L87" s="40">
        <f t="shared" si="5"/>
        <v>0</v>
      </c>
    </row>
    <row r="88" spans="1:12" ht="25.35" customHeight="1" x14ac:dyDescent="0.25">
      <c r="A88" s="243" t="s">
        <v>808</v>
      </c>
      <c r="B88" s="161" t="s">
        <v>809</v>
      </c>
      <c r="C88" s="233" t="s">
        <v>167</v>
      </c>
      <c r="D88" s="169">
        <v>147</v>
      </c>
      <c r="E88" s="394">
        <v>148</v>
      </c>
      <c r="F88" s="348"/>
      <c r="G88" s="100"/>
      <c r="H88" s="617" t="str">
        <f>IF(OR(D88&lt;0,D88&gt;D86),"Il valore deve essere maggiore o uguale a zero e minore o uguale a UtT_FOG,ind","")</f>
        <v/>
      </c>
      <c r="I88" s="618" t="str">
        <f>IF(OR(E88&lt;0,E88&gt;E86),"Il valore deve essere maggiore o uguale a zero e minore o uguale a UtT_FOG,ind","")</f>
        <v/>
      </c>
      <c r="J88" s="100"/>
      <c r="K88" s="40">
        <f t="shared" si="4"/>
        <v>0</v>
      </c>
      <c r="L88" s="40">
        <f t="shared" si="5"/>
        <v>0</v>
      </c>
    </row>
    <row r="89" spans="1:12" ht="30" customHeight="1" x14ac:dyDescent="0.25">
      <c r="A89" s="243" t="s">
        <v>810</v>
      </c>
      <c r="B89" s="161" t="s">
        <v>811</v>
      </c>
      <c r="C89" s="233" t="s">
        <v>167</v>
      </c>
      <c r="D89" s="169">
        <v>40</v>
      </c>
      <c r="E89" s="394">
        <v>45</v>
      </c>
      <c r="F89" s="348"/>
      <c r="G89" s="100"/>
      <c r="H89" s="617" t="str">
        <f>IF(OR(D89&lt;0,D89&gt;D86),"Il valore deve essere maggiore o uguale a zero e minore o uguale a UtT_FOG,ind","")</f>
        <v/>
      </c>
      <c r="I89" s="618" t="str">
        <f>IF(OR(E89&lt;0,E89&gt;E86),"Il valore deve essere maggiore o uguale a zero e minore o uguale a UtT_FOG,ind","")</f>
        <v/>
      </c>
      <c r="J89" s="100"/>
      <c r="K89" s="40">
        <f t="shared" si="4"/>
        <v>0</v>
      </c>
      <c r="L89" s="40">
        <f t="shared" si="5"/>
        <v>0</v>
      </c>
    </row>
    <row r="90" spans="1:12" ht="32.1" customHeight="1" x14ac:dyDescent="0.25">
      <c r="A90" s="243" t="s">
        <v>812</v>
      </c>
      <c r="B90" s="138" t="s">
        <v>813</v>
      </c>
      <c r="C90" s="293" t="s">
        <v>167</v>
      </c>
      <c r="D90" s="169">
        <v>11331</v>
      </c>
      <c r="E90" s="394">
        <v>11316</v>
      </c>
      <c r="F90" s="365" t="s">
        <v>176</v>
      </c>
      <c r="G90" s="100"/>
      <c r="H90" s="617" t="str">
        <f>IF(OR(D90&lt;0,D90&gt;D84),"Il valore deve essere maggiore o uguale a zero e minore o uguale a UtT_FOG","")</f>
        <v/>
      </c>
      <c r="I90" s="618" t="str">
        <f>IF(OR(E90&lt;0,E90&gt;E84),"Il valore deve essere maggiore o uguale a zero e minore o uguale a UtT_FOG","")</f>
        <v/>
      </c>
      <c r="J90" s="100"/>
      <c r="K90" s="40">
        <f t="shared" si="4"/>
        <v>0</v>
      </c>
      <c r="L90" s="40">
        <f t="shared" si="5"/>
        <v>0</v>
      </c>
    </row>
    <row r="91" spans="1:12" ht="43.5" customHeight="1" x14ac:dyDescent="0.25">
      <c r="A91" s="243" t="s">
        <v>814</v>
      </c>
      <c r="B91" s="138" t="s">
        <v>815</v>
      </c>
      <c r="C91" s="251" t="s">
        <v>167</v>
      </c>
      <c r="D91" s="169">
        <v>73868</v>
      </c>
      <c r="E91" s="394">
        <v>73709</v>
      </c>
      <c r="F91" s="348" t="s">
        <v>176</v>
      </c>
      <c r="G91" s="100"/>
      <c r="H91" s="617" t="str">
        <f>IF(D91&lt;D90,"Il valore deve essere maggiore di UtT_cond,FOG","")</f>
        <v/>
      </c>
      <c r="I91" s="618" t="str">
        <f>IF(E91&lt;E90,"Il valore deve essere maggiore di UtT_cond,FOG","")</f>
        <v/>
      </c>
      <c r="J91" s="100"/>
      <c r="K91" s="40">
        <f t="shared" si="4"/>
        <v>0</v>
      </c>
      <c r="L91" s="40">
        <f t="shared" si="5"/>
        <v>0</v>
      </c>
    </row>
    <row r="92" spans="1:12" ht="32.1" customHeight="1" x14ac:dyDescent="0.25">
      <c r="A92" s="289" t="s">
        <v>816</v>
      </c>
      <c r="B92" s="143" t="s">
        <v>817</v>
      </c>
      <c r="C92" s="235" t="s">
        <v>167</v>
      </c>
      <c r="D92" s="170">
        <f>IF((D84-D90+D91)&lt;0,"",D84-D90+D91)</f>
        <v>156593</v>
      </c>
      <c r="E92" s="395">
        <f>IF((E84-E90+E91)&lt;0,"",E84-E90+E91)</f>
        <v>155838</v>
      </c>
      <c r="F92" s="348"/>
      <c r="G92" s="100"/>
      <c r="H92" s="213"/>
      <c r="I92" s="382"/>
      <c r="J92" s="100"/>
      <c r="K92" s="40">
        <f t="shared" si="4"/>
        <v>0</v>
      </c>
      <c r="L92" s="40">
        <f t="shared" si="5"/>
        <v>0</v>
      </c>
    </row>
    <row r="93" spans="1:12" ht="32.1" customHeight="1" x14ac:dyDescent="0.25">
      <c r="A93" s="231" t="s">
        <v>818</v>
      </c>
      <c r="B93" s="157" t="s">
        <v>819</v>
      </c>
      <c r="C93" s="294" t="s">
        <v>397</v>
      </c>
      <c r="D93" s="169"/>
      <c r="E93" s="394"/>
      <c r="F93" s="365" t="s">
        <v>820</v>
      </c>
      <c r="G93" s="100"/>
      <c r="H93" s="617" t="str">
        <f>IF(D93&lt;0,"Il valore deve essere maggiore di zero","")</f>
        <v/>
      </c>
      <c r="I93" s="618" t="str">
        <f>IF(E93&lt;0,"Il valore deve essere maggiore di zero","")</f>
        <v/>
      </c>
      <c r="J93" s="100"/>
      <c r="K93" s="40">
        <f t="shared" si="4"/>
        <v>0</v>
      </c>
      <c r="L93" s="40">
        <f t="shared" si="5"/>
        <v>0</v>
      </c>
    </row>
    <row r="94" spans="1:12" ht="25.35" customHeight="1" x14ac:dyDescent="0.25">
      <c r="A94" s="231" t="s">
        <v>821</v>
      </c>
      <c r="B94" s="155" t="s">
        <v>822</v>
      </c>
      <c r="C94" s="294" t="s">
        <v>397</v>
      </c>
      <c r="D94" s="169"/>
      <c r="E94" s="394"/>
      <c r="F94" s="391"/>
      <c r="G94" s="100"/>
      <c r="H94" s="658" t="str">
        <f>IF(OR(D94&lt;&gt;"",D95&lt;&gt;""),IF(OR(D94&lt;0,D95&lt;0,D95+D94&lt;&gt;D93),"Ogni di cui deve essere maggiore o uguale a zero e la somma deve essere pari a Car_gen",""),"")</f>
        <v/>
      </c>
      <c r="I94" s="659" t="str">
        <f>IF(OR(E94&lt;&gt;"",E95&lt;&gt;""),IF(OR(E94&lt;0,E95&lt;0,E95+E94&lt;&gt;E93),"Ogni di cui deve essere maggiore o uguale a zero e la somma deve essere pari a Car_gen",""),"")</f>
        <v/>
      </c>
      <c r="J94" s="100"/>
      <c r="K94" s="40">
        <f t="shared" si="4"/>
        <v>0</v>
      </c>
      <c r="L94" s="40">
        <f t="shared" si="5"/>
        <v>0</v>
      </c>
    </row>
    <row r="95" spans="1:12" ht="25.35" customHeight="1" x14ac:dyDescent="0.25">
      <c r="A95" s="231" t="s">
        <v>823</v>
      </c>
      <c r="B95" s="155" t="s">
        <v>553</v>
      </c>
      <c r="C95" s="294" t="s">
        <v>397</v>
      </c>
      <c r="D95" s="169"/>
      <c r="E95" s="394"/>
      <c r="F95" s="391"/>
      <c r="G95" s="100"/>
      <c r="H95" s="658"/>
      <c r="I95" s="659"/>
      <c r="J95" s="100"/>
      <c r="K95" s="40">
        <f t="shared" si="4"/>
        <v>0</v>
      </c>
      <c r="L95" s="40">
        <f t="shared" si="5"/>
        <v>0</v>
      </c>
    </row>
    <row r="96" spans="1:12" ht="45" customHeight="1" x14ac:dyDescent="0.25">
      <c r="A96" s="231" t="s">
        <v>824</v>
      </c>
      <c r="B96" s="157" t="s">
        <v>825</v>
      </c>
      <c r="C96" s="294" t="s">
        <v>397</v>
      </c>
      <c r="D96" s="169">
        <v>211059.04380692169</v>
      </c>
      <c r="E96" s="394">
        <v>347964</v>
      </c>
      <c r="F96" s="365" t="s">
        <v>826</v>
      </c>
      <c r="G96" s="100"/>
      <c r="H96" s="617" t="str">
        <f>IF(OR(D96&lt;0,D96&gt;D93),"Il valore deve essere maggiore di zero e minore o uguale a Car_gen","")</f>
        <v>Il valore deve essere maggiore di zero e minore o uguale a Car_gen</v>
      </c>
      <c r="I96" s="618" t="str">
        <f>IF(OR(E96&lt;0,E96&gt;E93),"Il valore deve essere maggiore di zero e minore o uguale a Car_gen","")</f>
        <v>Il valore deve essere maggiore di zero e minore o uguale a Car_gen</v>
      </c>
      <c r="J96" s="100"/>
      <c r="K96" s="40">
        <f t="shared" si="4"/>
        <v>1</v>
      </c>
      <c r="L96" s="40">
        <f t="shared" si="5"/>
        <v>1</v>
      </c>
    </row>
    <row r="97" spans="1:12" ht="25.35" customHeight="1" x14ac:dyDescent="0.25">
      <c r="A97" s="231" t="s">
        <v>827</v>
      </c>
      <c r="B97" s="155" t="s">
        <v>822</v>
      </c>
      <c r="C97" s="294" t="s">
        <v>397</v>
      </c>
      <c r="D97" s="169">
        <v>200986.54380692166</v>
      </c>
      <c r="E97" s="394">
        <v>340231</v>
      </c>
      <c r="F97" s="391"/>
      <c r="G97" s="100"/>
      <c r="H97" s="658" t="str">
        <f>IF(OR(D97&lt;&gt;"",D98&lt;&gt;""),IF(OR(D97&lt;0,D98&lt;0,D98+D97&lt;&gt;D96),"Ogni di cui deve essere maggiore o uguale a zero e la somma deve essere pari a Car_col",""),"")</f>
        <v/>
      </c>
      <c r="I97" s="659" t="str">
        <f>IF(OR(E97&lt;&gt;"",E98&lt;&gt;""),IF(OR(E97&lt;0,E98&lt;0,E98+E97&lt;&gt;E96),"Ogni di cui deve essere maggiore o uguale a zero e la somma deve essere pari a Car_col",""),"")</f>
        <v/>
      </c>
      <c r="J97" s="100"/>
      <c r="K97" s="40">
        <f t="shared" si="4"/>
        <v>0</v>
      </c>
      <c r="L97" s="40">
        <f t="shared" si="5"/>
        <v>0</v>
      </c>
    </row>
    <row r="98" spans="1:12" ht="25.35" customHeight="1" thickBot="1" x14ac:dyDescent="0.3">
      <c r="A98" s="281" t="s">
        <v>828</v>
      </c>
      <c r="B98" s="290" t="s">
        <v>553</v>
      </c>
      <c r="C98" s="295" t="s">
        <v>397</v>
      </c>
      <c r="D98" s="292">
        <v>10072.50000000002</v>
      </c>
      <c r="E98" s="396">
        <v>7733</v>
      </c>
      <c r="F98" s="392"/>
      <c r="G98" s="100"/>
      <c r="H98" s="660"/>
      <c r="I98" s="661"/>
      <c r="J98" s="100"/>
      <c r="K98" s="40">
        <f t="shared" si="4"/>
        <v>0</v>
      </c>
      <c r="L98" s="40">
        <f t="shared" si="5"/>
        <v>0</v>
      </c>
    </row>
    <row r="99" spans="1:12" s="44" customFormat="1" ht="10.5" customHeight="1" x14ac:dyDescent="0.25">
      <c r="A99" s="91"/>
      <c r="B99" s="92"/>
      <c r="C99" s="93"/>
      <c r="D99" s="94"/>
      <c r="E99" s="94"/>
      <c r="F99" s="95"/>
      <c r="G99" s="84"/>
      <c r="H99" s="129"/>
      <c r="I99" s="129"/>
      <c r="J99" s="84"/>
      <c r="K99" s="40">
        <f t="shared" ref="K99:K128" si="6">IF(H99="",0,1)</f>
        <v>0</v>
      </c>
      <c r="L99" s="40">
        <f t="shared" ref="L99:L128" si="7">IF(I99="",0,1)</f>
        <v>0</v>
      </c>
    </row>
    <row r="100" spans="1:12" s="44" customFormat="1" ht="18" thickBot="1" x14ac:dyDescent="0.3">
      <c r="A100" s="45" t="s">
        <v>829</v>
      </c>
      <c r="B100" s="92"/>
      <c r="C100" s="92"/>
      <c r="D100" s="92"/>
      <c r="E100" s="92"/>
      <c r="F100" s="97"/>
      <c r="G100" s="98"/>
      <c r="H100" s="131"/>
      <c r="I100" s="131"/>
      <c r="J100" s="98"/>
      <c r="K100" s="40">
        <f t="shared" si="6"/>
        <v>0</v>
      </c>
      <c r="L100" s="40">
        <f t="shared" si="7"/>
        <v>0</v>
      </c>
    </row>
    <row r="101" spans="1:12" s="44" customFormat="1" ht="30" customHeight="1" x14ac:dyDescent="0.25">
      <c r="A101" s="130" t="s">
        <v>591</v>
      </c>
      <c r="B101" s="69" t="s">
        <v>830</v>
      </c>
      <c r="C101" s="128" t="s">
        <v>167</v>
      </c>
      <c r="D101" s="11">
        <f>'QT-Depurazione'!D66</f>
        <v>432</v>
      </c>
      <c r="E101" s="389">
        <f>'QT-Depurazione'!E66</f>
        <v>434</v>
      </c>
      <c r="F101" s="385"/>
      <c r="G101" s="28"/>
      <c r="H101" s="287"/>
      <c r="I101" s="383"/>
      <c r="J101" s="28"/>
      <c r="K101" s="40">
        <f t="shared" si="6"/>
        <v>0</v>
      </c>
      <c r="L101" s="40">
        <f t="shared" si="7"/>
        <v>0</v>
      </c>
    </row>
    <row r="102" spans="1:12" ht="25.35" customHeight="1" x14ac:dyDescent="0.25">
      <c r="A102" s="296" t="s">
        <v>831</v>
      </c>
      <c r="B102" s="155" t="s">
        <v>832</v>
      </c>
      <c r="C102" s="235" t="s">
        <v>167</v>
      </c>
      <c r="D102" s="183">
        <v>331</v>
      </c>
      <c r="E102" s="369">
        <v>332</v>
      </c>
      <c r="F102" s="348"/>
      <c r="G102" s="28"/>
      <c r="H102" s="662" t="str">
        <f>IF(OR(D102&lt;&gt;"",D103&lt;&gt;"",D104&lt;&gt;"",D105&lt;&gt;"",D106&lt;&gt;""),IF(OR(D102&lt;0,D103&lt;0,D104&lt;0,D105&lt;0,D106&lt;0,D102+D103+D104+D105+D106&lt;&gt;D101),"Ogni di cui deve essere maggiore o uguale a zero e la somma deve essere pari a Ndep",""),"")</f>
        <v/>
      </c>
      <c r="I102" s="664" t="str">
        <f>IF(OR(E102&lt;&gt;"",E103&lt;&gt;"",E104&lt;&gt;"",E105&lt;&gt;"",E106&lt;&gt;""),IF(OR(E102&lt;0,E103&lt;0,E104&lt;0,E105&lt;0,E106&lt;0,E102+E103+E104+E105+E106&lt;&gt;E101),"Ogni di cui deve essere maggiore o uguale a zero e la somma deve essere pari a Ndep",""),"")</f>
        <v/>
      </c>
      <c r="J102" s="28"/>
      <c r="K102" s="40">
        <f t="shared" si="6"/>
        <v>0</v>
      </c>
      <c r="L102" s="40">
        <f t="shared" si="7"/>
        <v>0</v>
      </c>
    </row>
    <row r="103" spans="1:12" ht="25.35" customHeight="1" x14ac:dyDescent="0.25">
      <c r="A103" s="296" t="s">
        <v>833</v>
      </c>
      <c r="B103" s="155" t="s">
        <v>834</v>
      </c>
      <c r="C103" s="235" t="s">
        <v>167</v>
      </c>
      <c r="D103" s="183">
        <v>0</v>
      </c>
      <c r="E103" s="369">
        <v>0</v>
      </c>
      <c r="F103" s="348" t="s">
        <v>835</v>
      </c>
      <c r="G103" s="28"/>
      <c r="H103" s="666"/>
      <c r="I103" s="667"/>
      <c r="J103" s="28"/>
      <c r="K103" s="40">
        <f t="shared" si="6"/>
        <v>0</v>
      </c>
      <c r="L103" s="40">
        <f t="shared" si="7"/>
        <v>0</v>
      </c>
    </row>
    <row r="104" spans="1:12" ht="25.35" customHeight="1" x14ac:dyDescent="0.25">
      <c r="A104" s="296" t="s">
        <v>836</v>
      </c>
      <c r="B104" s="155" t="s">
        <v>837</v>
      </c>
      <c r="C104" s="235" t="s">
        <v>167</v>
      </c>
      <c r="D104" s="183">
        <v>85</v>
      </c>
      <c r="E104" s="369">
        <v>89</v>
      </c>
      <c r="F104" s="348" t="s">
        <v>838</v>
      </c>
      <c r="G104" s="28"/>
      <c r="H104" s="666"/>
      <c r="I104" s="667"/>
      <c r="J104" s="28"/>
      <c r="K104" s="40">
        <f t="shared" si="6"/>
        <v>0</v>
      </c>
      <c r="L104" s="40">
        <f t="shared" si="7"/>
        <v>0</v>
      </c>
    </row>
    <row r="105" spans="1:12" ht="25.35" customHeight="1" x14ac:dyDescent="0.25">
      <c r="A105" s="296" t="s">
        <v>839</v>
      </c>
      <c r="B105" s="155" t="s">
        <v>840</v>
      </c>
      <c r="C105" s="235" t="s">
        <v>167</v>
      </c>
      <c r="D105" s="183">
        <v>12</v>
      </c>
      <c r="E105" s="369">
        <v>9</v>
      </c>
      <c r="F105" s="348" t="s">
        <v>838</v>
      </c>
      <c r="G105" s="28"/>
      <c r="H105" s="666"/>
      <c r="I105" s="667"/>
      <c r="J105" s="28"/>
      <c r="K105" s="40">
        <f t="shared" si="6"/>
        <v>0</v>
      </c>
      <c r="L105" s="40">
        <f t="shared" si="7"/>
        <v>0</v>
      </c>
    </row>
    <row r="106" spans="1:12" ht="25.35" customHeight="1" x14ac:dyDescent="0.25">
      <c r="A106" s="296" t="s">
        <v>841</v>
      </c>
      <c r="B106" s="155" t="s">
        <v>842</v>
      </c>
      <c r="C106" s="235" t="s">
        <v>167</v>
      </c>
      <c r="D106" s="183">
        <v>4</v>
      </c>
      <c r="E106" s="369">
        <v>4</v>
      </c>
      <c r="F106" s="348" t="s">
        <v>838</v>
      </c>
      <c r="G106" s="28"/>
      <c r="H106" s="663"/>
      <c r="I106" s="665"/>
      <c r="J106" s="28"/>
      <c r="K106" s="40">
        <f t="shared" si="6"/>
        <v>0</v>
      </c>
      <c r="L106" s="40">
        <f t="shared" si="7"/>
        <v>0</v>
      </c>
    </row>
    <row r="107" spans="1:12" s="44" customFormat="1" ht="30" customHeight="1" x14ac:dyDescent="0.25">
      <c r="A107" s="296" t="s">
        <v>591</v>
      </c>
      <c r="B107" s="143" t="s">
        <v>592</v>
      </c>
      <c r="C107" s="235" t="s">
        <v>167</v>
      </c>
      <c r="D107" s="180">
        <f>'QT-Depurazione'!D66</f>
        <v>432</v>
      </c>
      <c r="E107" s="371">
        <f>'QT-Depurazione'!E66</f>
        <v>434</v>
      </c>
      <c r="F107" s="386"/>
      <c r="G107" s="28"/>
      <c r="H107" s="288"/>
      <c r="I107" s="384"/>
      <c r="J107" s="28"/>
      <c r="K107" s="40">
        <f t="shared" si="6"/>
        <v>0</v>
      </c>
      <c r="L107" s="40">
        <f t="shared" si="7"/>
        <v>0</v>
      </c>
    </row>
    <row r="108" spans="1:12" ht="25.35" customHeight="1" x14ac:dyDescent="0.25">
      <c r="A108" s="296" t="s">
        <v>843</v>
      </c>
      <c r="B108" s="145" t="s">
        <v>844</v>
      </c>
      <c r="C108" s="235" t="s">
        <v>167</v>
      </c>
      <c r="D108" s="183">
        <v>400</v>
      </c>
      <c r="E108" s="369">
        <v>402</v>
      </c>
      <c r="F108" s="348"/>
      <c r="G108" s="28"/>
      <c r="H108" s="662" t="str">
        <f>IF(OR(D108&lt;&gt;"",D109&lt;&gt;"",D110&lt;&gt;"",D111&lt;&gt;""),IF(OR(D108&lt;0,D109&lt;0,D110&lt;0,D111&lt;0,D111+D110+D109+D108&lt;&gt;D107),"Ogni di cui deve essere maggiore o uguale a zero e la somma deve essere pari a Ndep",""),"")</f>
        <v/>
      </c>
      <c r="I108" s="664" t="str">
        <f>IF(OR(E108&lt;&gt;"",E109&lt;&gt;"",E110&lt;&gt;"",E111&lt;&gt;""),IF(OR(E108&lt;0,E109&lt;0,E110&lt;0,E111&lt;0,E111+E110+E109+E108&lt;&gt;E107),"Ogni di cui deve essere maggiore o uguale a zero e la somma deve essere pari a Ndep",""),"")</f>
        <v/>
      </c>
      <c r="J108" s="28"/>
      <c r="K108" s="40">
        <f t="shared" si="6"/>
        <v>0</v>
      </c>
      <c r="L108" s="40">
        <f t="shared" si="7"/>
        <v>0</v>
      </c>
    </row>
    <row r="109" spans="1:12" ht="25.35" customHeight="1" x14ac:dyDescent="0.25">
      <c r="A109" s="296" t="s">
        <v>845</v>
      </c>
      <c r="B109" s="145" t="s">
        <v>846</v>
      </c>
      <c r="C109" s="235" t="s">
        <v>167</v>
      </c>
      <c r="D109" s="183">
        <v>25</v>
      </c>
      <c r="E109" s="369">
        <v>25</v>
      </c>
      <c r="F109" s="348"/>
      <c r="G109" s="28"/>
      <c r="H109" s="666"/>
      <c r="I109" s="667"/>
      <c r="J109" s="28"/>
      <c r="K109" s="40">
        <f t="shared" si="6"/>
        <v>0</v>
      </c>
      <c r="L109" s="40">
        <f t="shared" si="7"/>
        <v>0</v>
      </c>
    </row>
    <row r="110" spans="1:12" ht="25.35" customHeight="1" x14ac:dyDescent="0.25">
      <c r="A110" s="296" t="s">
        <v>847</v>
      </c>
      <c r="B110" s="145" t="s">
        <v>848</v>
      </c>
      <c r="C110" s="235" t="s">
        <v>167</v>
      </c>
      <c r="D110" s="183">
        <v>6</v>
      </c>
      <c r="E110" s="369">
        <v>6</v>
      </c>
      <c r="F110" s="348"/>
      <c r="G110" s="28"/>
      <c r="H110" s="666"/>
      <c r="I110" s="667"/>
      <c r="J110" s="28"/>
      <c r="K110" s="40">
        <f t="shared" si="6"/>
        <v>0</v>
      </c>
      <c r="L110" s="40">
        <f t="shared" si="7"/>
        <v>0</v>
      </c>
    </row>
    <row r="111" spans="1:12" ht="25.35" customHeight="1" x14ac:dyDescent="0.25">
      <c r="A111" s="296" t="s">
        <v>849</v>
      </c>
      <c r="B111" s="145" t="s">
        <v>850</v>
      </c>
      <c r="C111" s="235" t="s">
        <v>167</v>
      </c>
      <c r="D111" s="183">
        <v>1</v>
      </c>
      <c r="E111" s="369">
        <v>1</v>
      </c>
      <c r="F111" s="348"/>
      <c r="G111" s="28"/>
      <c r="H111" s="663"/>
      <c r="I111" s="665"/>
      <c r="J111" s="28"/>
      <c r="K111" s="40">
        <f t="shared" si="6"/>
        <v>0</v>
      </c>
      <c r="L111" s="40">
        <f t="shared" si="7"/>
        <v>0</v>
      </c>
    </row>
    <row r="112" spans="1:12" ht="25.35" customHeight="1" x14ac:dyDescent="0.25">
      <c r="A112" s="296" t="s">
        <v>851</v>
      </c>
      <c r="B112" s="145" t="s">
        <v>852</v>
      </c>
      <c r="C112" s="235" t="s">
        <v>167</v>
      </c>
      <c r="D112" s="183">
        <v>0</v>
      </c>
      <c r="E112" s="369">
        <v>0</v>
      </c>
      <c r="F112" s="348"/>
      <c r="G112" s="28"/>
      <c r="H112" s="617" t="str">
        <f>IF(OR(D112&lt;0,D112&gt;D111,D112&gt;D107),"Il valore deve essere maggiore o uguale a zero e minore o uguale a Ndep_D","")</f>
        <v/>
      </c>
      <c r="I112" s="618" t="str">
        <f>IF(OR(E112&lt;0,E112&gt;E111,E112&gt;E107),"Il valore deve essere maggiore o uguale a zero e minore o uguale a Ndep_D","")</f>
        <v/>
      </c>
      <c r="J112" s="28"/>
      <c r="K112" s="40">
        <f t="shared" si="6"/>
        <v>0</v>
      </c>
      <c r="L112" s="40">
        <f t="shared" si="7"/>
        <v>0</v>
      </c>
    </row>
    <row r="113" spans="1:12" ht="30" x14ac:dyDescent="0.25">
      <c r="A113" s="231" t="s">
        <v>853</v>
      </c>
      <c r="B113" s="143" t="s">
        <v>854</v>
      </c>
      <c r="C113" s="235" t="s">
        <v>397</v>
      </c>
      <c r="D113" s="183"/>
      <c r="E113" s="369"/>
      <c r="F113" s="348" t="s">
        <v>855</v>
      </c>
      <c r="G113" s="28"/>
      <c r="H113" s="617" t="str">
        <f>IF(D113&lt;0,"Il valore deve essere maggiore o uguale a zero","")</f>
        <v/>
      </c>
      <c r="I113" s="618" t="str">
        <f>IF(E113&lt;0,"Il valore deve essere maggiore o uguale a zero","")</f>
        <v/>
      </c>
      <c r="J113" s="28"/>
      <c r="K113" s="40">
        <f t="shared" si="6"/>
        <v>0</v>
      </c>
      <c r="L113" s="40">
        <f t="shared" si="7"/>
        <v>0</v>
      </c>
    </row>
    <row r="114" spans="1:12" s="44" customFormat="1" ht="45" x14ac:dyDescent="0.25">
      <c r="A114" s="296" t="s">
        <v>477</v>
      </c>
      <c r="B114" s="143" t="s">
        <v>478</v>
      </c>
      <c r="C114" s="235" t="s">
        <v>397</v>
      </c>
      <c r="D114" s="180">
        <f>'QT-Depurazione'!D8</f>
        <v>212834.28591324214</v>
      </c>
      <c r="E114" s="371">
        <f>'QT-Depurazione'!E8</f>
        <v>347964</v>
      </c>
      <c r="F114" s="386"/>
      <c r="G114" s="28"/>
      <c r="H114" s="225"/>
      <c r="I114" s="377"/>
      <c r="J114" s="28"/>
      <c r="K114" s="40">
        <f t="shared" si="6"/>
        <v>0</v>
      </c>
      <c r="L114" s="40">
        <f t="shared" si="7"/>
        <v>0</v>
      </c>
    </row>
    <row r="115" spans="1:12" ht="25.35" customHeight="1" x14ac:dyDescent="0.25">
      <c r="A115" s="296" t="s">
        <v>856</v>
      </c>
      <c r="B115" s="155" t="s">
        <v>857</v>
      </c>
      <c r="C115" s="235" t="s">
        <v>397</v>
      </c>
      <c r="D115" s="183">
        <v>15162.778036529675</v>
      </c>
      <c r="E115" s="369">
        <v>33790</v>
      </c>
      <c r="F115" s="348"/>
      <c r="G115" s="28"/>
      <c r="H115" s="662" t="str">
        <f>IF(OR(D115&lt;&gt;"",D116&lt;&gt;"",D117&lt;&gt;"",D118&lt;&gt;"",D119&lt;&gt;""),IF(OR(D115&lt;0,D116&lt;0,D117&lt;0,D118&lt;0,D119&lt;0,D115+D116+D117+D118+D119&lt;&gt;D114),"Ogni di cui deve essere maggiore o uguale a zero e la somma deve essere pari a Car_dep",""),"")</f>
        <v/>
      </c>
      <c r="I115" s="664" t="str">
        <f>IF(OR(E115&lt;&gt;"",E116&lt;&gt;"",E117&lt;&gt;"",E118&lt;&gt;"",E119&lt;&gt;""),IF(OR(E115&lt;0,E116&lt;0,E117&lt;0,E118&lt;0,E119&lt;0,E115+E116+E117+E118+E119&lt;&gt;E114),"Ogni di cui deve essere maggiore o uguale a zero e la somma deve essere pari a Car_dep",""),"")</f>
        <v/>
      </c>
      <c r="J115" s="28"/>
      <c r="K115" s="40">
        <f t="shared" si="6"/>
        <v>0</v>
      </c>
      <c r="L115" s="40">
        <f t="shared" si="7"/>
        <v>0</v>
      </c>
    </row>
    <row r="116" spans="1:12" ht="25.35" customHeight="1" x14ac:dyDescent="0.25">
      <c r="A116" s="296" t="s">
        <v>858</v>
      </c>
      <c r="B116" s="155" t="s">
        <v>859</v>
      </c>
      <c r="C116" s="235" t="s">
        <v>397</v>
      </c>
      <c r="D116" s="183">
        <v>0</v>
      </c>
      <c r="E116" s="369">
        <v>0</v>
      </c>
      <c r="F116" s="348" t="s">
        <v>835</v>
      </c>
      <c r="G116" s="28"/>
      <c r="H116" s="666"/>
      <c r="I116" s="667"/>
      <c r="J116" s="28"/>
      <c r="K116" s="40">
        <f t="shared" si="6"/>
        <v>0</v>
      </c>
      <c r="L116" s="40">
        <f t="shared" si="7"/>
        <v>0</v>
      </c>
    </row>
    <row r="117" spans="1:12" ht="25.35" customHeight="1" x14ac:dyDescent="0.25">
      <c r="A117" s="296" t="s">
        <v>860</v>
      </c>
      <c r="B117" s="155" t="s">
        <v>861</v>
      </c>
      <c r="C117" s="235" t="s">
        <v>397</v>
      </c>
      <c r="D117" s="183">
        <v>31546.358698630138</v>
      </c>
      <c r="E117" s="369">
        <v>95369</v>
      </c>
      <c r="F117" s="348" t="s">
        <v>838</v>
      </c>
      <c r="G117" s="28"/>
      <c r="H117" s="666"/>
      <c r="I117" s="667"/>
      <c r="J117" s="28"/>
      <c r="K117" s="40">
        <f t="shared" si="6"/>
        <v>0</v>
      </c>
      <c r="L117" s="40">
        <f t="shared" si="7"/>
        <v>0</v>
      </c>
    </row>
    <row r="118" spans="1:12" ht="25.35" customHeight="1" x14ac:dyDescent="0.25">
      <c r="A118" s="296" t="s">
        <v>862</v>
      </c>
      <c r="B118" s="155" t="s">
        <v>863</v>
      </c>
      <c r="C118" s="235" t="s">
        <v>397</v>
      </c>
      <c r="D118" s="183">
        <v>164174.90817351601</v>
      </c>
      <c r="E118" s="369">
        <v>216855</v>
      </c>
      <c r="F118" s="348" t="s">
        <v>838</v>
      </c>
      <c r="G118" s="28"/>
      <c r="H118" s="666"/>
      <c r="I118" s="667"/>
      <c r="J118" s="28"/>
      <c r="K118" s="40">
        <f t="shared" si="6"/>
        <v>0</v>
      </c>
      <c r="L118" s="40">
        <f t="shared" si="7"/>
        <v>0</v>
      </c>
    </row>
    <row r="119" spans="1:12" ht="25.35" customHeight="1" x14ac:dyDescent="0.25">
      <c r="A119" s="296" t="s">
        <v>864</v>
      </c>
      <c r="B119" s="155" t="s">
        <v>865</v>
      </c>
      <c r="C119" s="235" t="s">
        <v>397</v>
      </c>
      <c r="D119" s="183">
        <v>1950.2410045662102</v>
      </c>
      <c r="E119" s="369">
        <v>1950</v>
      </c>
      <c r="F119" s="348" t="s">
        <v>838</v>
      </c>
      <c r="G119" s="28"/>
      <c r="H119" s="663"/>
      <c r="I119" s="665"/>
      <c r="J119" s="28"/>
      <c r="K119" s="40">
        <f t="shared" si="6"/>
        <v>0</v>
      </c>
      <c r="L119" s="40">
        <f t="shared" si="7"/>
        <v>0</v>
      </c>
    </row>
    <row r="120" spans="1:12" ht="30" customHeight="1" x14ac:dyDescent="0.25">
      <c r="A120" s="280" t="s">
        <v>866</v>
      </c>
      <c r="B120" s="109" t="s">
        <v>867</v>
      </c>
      <c r="C120" s="235" t="s">
        <v>62</v>
      </c>
      <c r="D120" s="183">
        <v>23097411</v>
      </c>
      <c r="E120" s="369">
        <v>24396897</v>
      </c>
      <c r="F120" s="348"/>
      <c r="G120" s="28"/>
      <c r="H120" s="613" t="str">
        <f>IF(D120&lt;0,"Il valore deve essere maggiore di zero","")</f>
        <v/>
      </c>
      <c r="I120" s="614" t="str">
        <f>IF(E120&lt;0,"Il valore deve essere maggiore di zero","")</f>
        <v/>
      </c>
      <c r="J120" s="28"/>
      <c r="K120" s="40">
        <f t="shared" si="6"/>
        <v>0</v>
      </c>
      <c r="L120" s="40">
        <f t="shared" si="7"/>
        <v>0</v>
      </c>
    </row>
    <row r="121" spans="1:12" ht="30" customHeight="1" x14ac:dyDescent="0.25">
      <c r="A121" s="280" t="s">
        <v>868</v>
      </c>
      <c r="B121" s="109" t="s">
        <v>869</v>
      </c>
      <c r="C121" s="235" t="s">
        <v>62</v>
      </c>
      <c r="D121" s="183">
        <v>58814.119999999995</v>
      </c>
      <c r="E121" s="369">
        <v>52604</v>
      </c>
      <c r="F121" s="348"/>
      <c r="G121" s="28"/>
      <c r="H121" s="613" t="str">
        <f>IF(D121&lt;0,"Il valore deve essere maggiore o uguale a zero","")</f>
        <v/>
      </c>
      <c r="I121" s="614" t="str">
        <f>IF(E121&lt;0,"Il valore deve essere maggiore o uguale a zero","")</f>
        <v/>
      </c>
      <c r="J121" s="28"/>
      <c r="K121" s="40">
        <f t="shared" si="6"/>
        <v>0</v>
      </c>
      <c r="L121" s="40">
        <f t="shared" si="7"/>
        <v>0</v>
      </c>
    </row>
    <row r="122" spans="1:12" s="44" customFormat="1" ht="30" customHeight="1" x14ac:dyDescent="0.25">
      <c r="A122" s="296" t="s">
        <v>870</v>
      </c>
      <c r="B122" s="160" t="s">
        <v>871</v>
      </c>
      <c r="C122" s="235" t="s">
        <v>62</v>
      </c>
      <c r="D122" s="183">
        <v>23097411</v>
      </c>
      <c r="E122" s="369">
        <v>24396897</v>
      </c>
      <c r="F122" s="348"/>
      <c r="G122" s="28"/>
      <c r="H122" s="617" t="str">
        <f>IF(OR(D122&lt;0,D122&gt;(D120+D121)),"Il valore deve essere maggiore di zero e minore di WDEPin + WRIF_Lin","")</f>
        <v/>
      </c>
      <c r="I122" s="618" t="str">
        <f>IF(OR(E122&lt;0,E122&gt;(E120+E121)),"Il valore deve essere maggiore di zero e minore di WDEPin + WRIF_Lin","")</f>
        <v/>
      </c>
      <c r="J122" s="28"/>
      <c r="K122" s="40">
        <f t="shared" si="6"/>
        <v>0</v>
      </c>
      <c r="L122" s="40">
        <f t="shared" si="7"/>
        <v>0</v>
      </c>
    </row>
    <row r="123" spans="1:12" s="44" customFormat="1" ht="25.35" customHeight="1" x14ac:dyDescent="0.25">
      <c r="A123" s="296" t="s">
        <v>872</v>
      </c>
      <c r="B123" s="155" t="s">
        <v>873</v>
      </c>
      <c r="C123" s="235" t="s">
        <v>62</v>
      </c>
      <c r="D123" s="183">
        <v>0</v>
      </c>
      <c r="E123" s="369">
        <v>0</v>
      </c>
      <c r="F123" s="387"/>
      <c r="G123" s="28"/>
      <c r="H123" s="617" t="str">
        <f>IF(OR(D123&lt;0,D123&gt;D122),"Il valore deve essere maggiore o uguale a zero e minore o uguale a W_DEP","")</f>
        <v/>
      </c>
      <c r="I123" s="618" t="str">
        <f>IF(OR(E123&lt;0,E123&gt;E122),"Il valore deve essere maggiore o uguale a zero e minore o uguale a W_DEP","")</f>
        <v/>
      </c>
      <c r="J123" s="28"/>
      <c r="K123" s="40">
        <f t="shared" si="6"/>
        <v>0</v>
      </c>
      <c r="L123" s="40">
        <f t="shared" si="7"/>
        <v>0</v>
      </c>
    </row>
    <row r="124" spans="1:12" s="44" customFormat="1" ht="25.35" customHeight="1" x14ac:dyDescent="0.25">
      <c r="A124" s="296" t="s">
        <v>874</v>
      </c>
      <c r="B124" s="155" t="s">
        <v>875</v>
      </c>
      <c r="C124" s="235" t="s">
        <v>62</v>
      </c>
      <c r="D124" s="183">
        <v>0</v>
      </c>
      <c r="E124" s="369">
        <v>0</v>
      </c>
      <c r="F124" s="387"/>
      <c r="G124" s="28"/>
      <c r="H124" s="617" t="str">
        <f>IF(OR(D124&lt;0,D124&gt;D123),"Il valore deve essere maggiore o uguale a zero e minore o uguale a W_DEP,r1","")</f>
        <v/>
      </c>
      <c r="I124" s="618" t="str">
        <f>IF(OR(E124&lt;0,E124&gt;E123),"Il valore deve essere maggiore o uguale a zero e minore o uguale a W_DEP,r1","")</f>
        <v/>
      </c>
      <c r="J124" s="28"/>
      <c r="K124" s="40">
        <f t="shared" si="6"/>
        <v>0</v>
      </c>
      <c r="L124" s="40">
        <f t="shared" si="7"/>
        <v>0</v>
      </c>
    </row>
    <row r="125" spans="1:12" s="44" customFormat="1" ht="30" x14ac:dyDescent="0.25">
      <c r="A125" s="280" t="s">
        <v>876</v>
      </c>
      <c r="B125" s="508" t="s">
        <v>877</v>
      </c>
      <c r="C125" s="235" t="s">
        <v>167</v>
      </c>
      <c r="D125" s="183">
        <v>0</v>
      </c>
      <c r="E125" s="369">
        <v>0</v>
      </c>
      <c r="F125" s="386"/>
      <c r="G125" s="28"/>
      <c r="H125" s="617" t="str">
        <f>IF(OR(D125&lt;0,D125&gt;D101),"Il valore deve essere maggiore o uguale a zero e minore o uguale a Ndep","")</f>
        <v/>
      </c>
      <c r="I125" s="618" t="str">
        <f>IF(OR(E125&lt;0,E125&gt;E101),"Il valore deve essere maggiore o uguale a zero e minore o uguale a Ndep","")</f>
        <v/>
      </c>
      <c r="J125" s="28"/>
      <c r="K125" s="40">
        <f t="shared" si="6"/>
        <v>0</v>
      </c>
      <c r="L125" s="40">
        <f t="shared" si="7"/>
        <v>0</v>
      </c>
    </row>
    <row r="126" spans="1:12" s="44" customFormat="1" ht="45" x14ac:dyDescent="0.25">
      <c r="A126" s="280" t="s">
        <v>878</v>
      </c>
      <c r="B126" s="508" t="s">
        <v>879</v>
      </c>
      <c r="C126" s="235" t="s">
        <v>167</v>
      </c>
      <c r="D126" s="183">
        <v>1</v>
      </c>
      <c r="E126" s="369">
        <v>1</v>
      </c>
      <c r="F126" s="348" t="s">
        <v>880</v>
      </c>
      <c r="G126" s="28"/>
      <c r="H126" s="617" t="str">
        <f>IF(OR(D126&lt;0,D126&gt;D101),"Il valore deve essere maggiore o uguale a zero e minore o uguale a Ndep","")</f>
        <v/>
      </c>
      <c r="I126" s="618" t="str">
        <f>IF(OR(E126&lt;0,E126&gt;E101),"Il valore deve essere maggiore o uguale a zero e minore o uguale a Ndep","")</f>
        <v/>
      </c>
      <c r="J126" s="28"/>
      <c r="K126" s="40">
        <f t="shared" si="6"/>
        <v>0</v>
      </c>
      <c r="L126" s="40">
        <f t="shared" si="7"/>
        <v>0</v>
      </c>
    </row>
    <row r="127" spans="1:12" s="44" customFormat="1" ht="25.35" customHeight="1" x14ac:dyDescent="0.25">
      <c r="A127" s="280" t="s">
        <v>881</v>
      </c>
      <c r="B127" s="529" t="s">
        <v>882</v>
      </c>
      <c r="C127" s="235" t="s">
        <v>167</v>
      </c>
      <c r="D127" s="183">
        <v>0</v>
      </c>
      <c r="E127" s="369">
        <v>0</v>
      </c>
      <c r="F127" s="386"/>
      <c r="G127" s="28"/>
      <c r="H127" s="617" t="str">
        <f>IF(OR(D127&lt;0,D127&gt;D126),"Il valore deve essere maggiore o uguale a zero e minore o uguale a Ndepdig_an","")</f>
        <v/>
      </c>
      <c r="I127" s="618" t="str">
        <f>IF(OR(E127&lt;0,E127&gt;E126),"Il valore deve essere maggiore o uguale a zero e minore o uguale a Ndepdig_an","")</f>
        <v/>
      </c>
      <c r="J127" s="28"/>
      <c r="K127" s="40">
        <f t="shared" si="6"/>
        <v>0</v>
      </c>
      <c r="L127" s="40">
        <f t="shared" si="7"/>
        <v>0</v>
      </c>
    </row>
    <row r="128" spans="1:12" s="44" customFormat="1" ht="32.85" customHeight="1" thickBot="1" x14ac:dyDescent="0.3">
      <c r="A128" s="530" t="s">
        <v>883</v>
      </c>
      <c r="B128" s="531" t="s">
        <v>884</v>
      </c>
      <c r="C128" s="236" t="s">
        <v>167</v>
      </c>
      <c r="D128" s="305">
        <v>1</v>
      </c>
      <c r="E128" s="390">
        <v>1</v>
      </c>
      <c r="F128" s="388"/>
      <c r="G128" s="28"/>
      <c r="H128" s="211" t="str">
        <f>IF(OR(D128&lt;0,D128&gt;D126),"Il valore deve essere maggiore o uguale a zero e minore o uguale a Ndepdig_an","")</f>
        <v/>
      </c>
      <c r="I128" s="375" t="str">
        <f>IF(OR(E128&lt;0,E128&gt;E126),"Il valore deve essere maggiore o uguale a zero e minore o uguale a Ndepdig_an","")</f>
        <v/>
      </c>
      <c r="J128" s="28"/>
      <c r="K128" s="40">
        <f t="shared" si="6"/>
        <v>0</v>
      </c>
      <c r="L128" s="40">
        <f t="shared" si="7"/>
        <v>0</v>
      </c>
    </row>
    <row r="129" spans="1:12" x14ac:dyDescent="0.25">
      <c r="B129" s="75"/>
      <c r="K129" s="40"/>
      <c r="L129" s="40"/>
    </row>
    <row r="130" spans="1:12" ht="18" thickBot="1" x14ac:dyDescent="0.3">
      <c r="A130" s="593" t="s">
        <v>885</v>
      </c>
      <c r="K130" s="40"/>
      <c r="L130" s="40"/>
    </row>
    <row r="131" spans="1:12" ht="45" customHeight="1" x14ac:dyDescent="0.25">
      <c r="A131" s="607" t="s">
        <v>886</v>
      </c>
      <c r="B131" s="608" t="s">
        <v>887</v>
      </c>
      <c r="C131" s="65" t="s">
        <v>167</v>
      </c>
      <c r="D131" s="609"/>
      <c r="E131" s="610"/>
      <c r="F131" s="5" t="s">
        <v>888</v>
      </c>
      <c r="H131" s="212" t="str">
        <f>IF(OR(D131&lt;0,D131&gt;'QT-Acquedotto'!D230),"Il valore deve essere maggiore o uguale a zero e minore o uguale a ∑US1","")</f>
        <v/>
      </c>
      <c r="I131" s="372" t="str">
        <f>IF(OR(E131&lt;0,E131&gt;'QT-Acquedotto'!E230),"Il valore deve essere maggiore o uguale a zero e minore o uguale a ∑US1","")</f>
        <v/>
      </c>
      <c r="K131" s="40">
        <f t="shared" ref="K131:K137" si="8">IF(H131="",0,1)</f>
        <v>0</v>
      </c>
      <c r="L131" s="40">
        <f t="shared" ref="L131:L137" si="9">IF(I131="",0,1)</f>
        <v>0</v>
      </c>
    </row>
    <row r="132" spans="1:12" ht="46.5" customHeight="1" x14ac:dyDescent="0.25">
      <c r="A132" s="557" t="s">
        <v>889</v>
      </c>
      <c r="B132" s="234" t="s">
        <v>890</v>
      </c>
      <c r="C132" s="251" t="s">
        <v>167</v>
      </c>
      <c r="D132" s="504"/>
      <c r="E132" s="505"/>
      <c r="F132" s="611" t="s">
        <v>888</v>
      </c>
      <c r="H132" s="617" t="str">
        <f>IF(OR(D132&lt;0,D132&gt;'QT-Acquedotto'!D231),"Il valore deve essere maggiore o uguale a zero e minore o uguale a ∑US2","")</f>
        <v/>
      </c>
      <c r="I132" s="618" t="str">
        <f>IF(OR(E132&lt;0,E132&gt;'QT-Acquedotto'!E231),"Il valore deve essere maggiore o uguale a zero e minore o uguale a ∑US2","")</f>
        <v/>
      </c>
      <c r="K132" s="40">
        <f t="shared" si="8"/>
        <v>0</v>
      </c>
      <c r="L132" s="40">
        <f t="shared" si="9"/>
        <v>0</v>
      </c>
    </row>
    <row r="133" spans="1:12" ht="44.25" customHeight="1" x14ac:dyDescent="0.25">
      <c r="A133" s="557" t="s">
        <v>891</v>
      </c>
      <c r="B133" s="234" t="s">
        <v>892</v>
      </c>
      <c r="C133" s="251" t="s">
        <v>167</v>
      </c>
      <c r="D133" s="504"/>
      <c r="E133" s="505"/>
      <c r="F133" s="611" t="s">
        <v>888</v>
      </c>
      <c r="H133" s="617" t="str">
        <f>IF(OR(D133&lt;0,D133&gt;'QT-Acquedotto'!D232),"Il valore deve essere maggiore o uguale a zero e minore o uguale a ∑US3","")</f>
        <v/>
      </c>
      <c r="I133" s="618" t="str">
        <f>IF(OR(E133&lt;0,E133&gt;'QT-Acquedotto'!E232),"Il valore deve essere maggiore o uguale a zero e minore o uguale a ∑US3","")</f>
        <v/>
      </c>
      <c r="K133" s="40">
        <f t="shared" si="8"/>
        <v>0</v>
      </c>
      <c r="L133" s="40">
        <f t="shared" si="9"/>
        <v>0</v>
      </c>
    </row>
    <row r="134" spans="1:12" ht="55.9" customHeight="1" x14ac:dyDescent="0.25">
      <c r="A134" s="557" t="s">
        <v>893</v>
      </c>
      <c r="B134" s="234" t="s">
        <v>894</v>
      </c>
      <c r="C134" s="251" t="s">
        <v>661</v>
      </c>
      <c r="D134" s="504"/>
      <c r="E134" s="505"/>
      <c r="F134" s="611" t="s">
        <v>888</v>
      </c>
      <c r="H134" s="617" t="str">
        <f>IF(D134&lt;0,"Il valore deve essere maggiore o uguale a zero","")</f>
        <v/>
      </c>
      <c r="I134" s="618" t="str">
        <f>IF(E134&lt;0,"Il valore deve essere maggiore o uguale a zero","")</f>
        <v/>
      </c>
      <c r="K134" s="40">
        <f t="shared" si="8"/>
        <v>0</v>
      </c>
      <c r="L134" s="40">
        <f t="shared" si="9"/>
        <v>0</v>
      </c>
    </row>
    <row r="135" spans="1:12" ht="60" x14ac:dyDescent="0.25">
      <c r="A135" s="557" t="s">
        <v>895</v>
      </c>
      <c r="B135" s="234" t="s">
        <v>896</v>
      </c>
      <c r="C135" s="251" t="s">
        <v>661</v>
      </c>
      <c r="D135" s="504"/>
      <c r="E135" s="505"/>
      <c r="F135" s="611" t="s">
        <v>888</v>
      </c>
      <c r="H135" s="617" t="str">
        <f>IF(D135&lt;0,"Il valore deve essere maggiore o uguale a zero","")</f>
        <v/>
      </c>
      <c r="I135" s="618" t="str">
        <f>IF(E135&lt;0,"Il valore deve essere maggiore o uguale a zero","")</f>
        <v/>
      </c>
      <c r="K135" s="40">
        <f t="shared" si="8"/>
        <v>0</v>
      </c>
      <c r="L135" s="40">
        <f t="shared" si="9"/>
        <v>0</v>
      </c>
    </row>
    <row r="136" spans="1:12" ht="45" customHeight="1" x14ac:dyDescent="0.25">
      <c r="A136" s="525" t="s">
        <v>754</v>
      </c>
      <c r="B136" s="526" t="s">
        <v>755</v>
      </c>
      <c r="C136" s="39" t="s">
        <v>129</v>
      </c>
      <c r="D136" s="586">
        <f>D58</f>
        <v>0</v>
      </c>
      <c r="E136" s="587">
        <f>E58</f>
        <v>0</v>
      </c>
      <c r="F136" s="612"/>
      <c r="G136" s="73"/>
      <c r="H136" s="213"/>
      <c r="I136" s="382"/>
      <c r="K136" s="40">
        <f t="shared" si="8"/>
        <v>0</v>
      </c>
      <c r="L136" s="40">
        <f t="shared" si="9"/>
        <v>0</v>
      </c>
    </row>
    <row r="137" spans="1:12" ht="43.15" customHeight="1" thickBot="1" x14ac:dyDescent="0.3">
      <c r="A137" s="595" t="s">
        <v>897</v>
      </c>
      <c r="B137" s="596" t="s">
        <v>898</v>
      </c>
      <c r="C137" s="273" t="s">
        <v>129</v>
      </c>
      <c r="D137" s="584"/>
      <c r="E137" s="585"/>
      <c r="F137" s="583" t="s">
        <v>899</v>
      </c>
      <c r="G137" s="73"/>
      <c r="H137" s="211" t="str">
        <f>IF(OR(D137&lt;0,D137&gt;D59),"Il valore deve essere maggiore o uguale a zero e minore o uguale a Lall_stima","")</f>
        <v/>
      </c>
      <c r="I137" s="375" t="str">
        <f>IF(OR(E137&lt;0,E137&gt;E59),"Il valore deve essere maggiore o uguale a zero e minore o uguale a Lall_stima","")</f>
        <v/>
      </c>
      <c r="K137" s="40">
        <f t="shared" si="8"/>
        <v>0</v>
      </c>
      <c r="L137" s="40">
        <f t="shared" si="9"/>
        <v>0</v>
      </c>
    </row>
    <row r="141" spans="1:12" hidden="1" x14ac:dyDescent="0.25">
      <c r="B141" s="279"/>
    </row>
    <row r="142" spans="1:12" hidden="1" x14ac:dyDescent="0.25">
      <c r="B142" s="80" t="s">
        <v>33</v>
      </c>
    </row>
  </sheetData>
  <sheetProtection sheet="1" objects="1" scenarios="1"/>
  <mergeCells count="28">
    <mergeCell ref="H61:H66"/>
    <mergeCell ref="I61:I66"/>
    <mergeCell ref="H97:H98"/>
    <mergeCell ref="I97:I98"/>
    <mergeCell ref="H75:H80"/>
    <mergeCell ref="I75:I80"/>
    <mergeCell ref="I85:I86"/>
    <mergeCell ref="I94:I95"/>
    <mergeCell ref="H85:H86"/>
    <mergeCell ref="H94:H95"/>
    <mergeCell ref="I115:I119"/>
    <mergeCell ref="H115:H119"/>
    <mergeCell ref="I108:I111"/>
    <mergeCell ref="H102:H106"/>
    <mergeCell ref="H108:H111"/>
    <mergeCell ref="I102:I106"/>
    <mergeCell ref="H15:H17"/>
    <mergeCell ref="I15:I17"/>
    <mergeCell ref="H22:H23"/>
    <mergeCell ref="I22:I23"/>
    <mergeCell ref="H52:H54"/>
    <mergeCell ref="I52:I54"/>
    <mergeCell ref="H47:H50"/>
    <mergeCell ref="I47:I50"/>
    <mergeCell ref="H35:H38"/>
    <mergeCell ref="I35:I38"/>
    <mergeCell ref="H40:H41"/>
    <mergeCell ref="I40:I41"/>
  </mergeCells>
  <conditionalFormatting sqref="K2:L2">
    <cfRule type="cellIs" dxfId="13" priority="1" operator="lessThanOrEqual">
      <formula>0</formula>
    </cfRule>
    <cfRule type="cellIs" dxfId="12" priority="2" operator="greaterThan">
      <formula>0</formula>
    </cfRule>
  </conditionalFormatting>
  <dataValidations count="1">
    <dataValidation type="list" allowBlank="1" showInputMessage="1" showErrorMessage="1" sqref="D10:E10" xr:uid="{00000000-0002-0000-0400-000000000000}">
      <formula1>$B$141:$B$142</formula1>
    </dataValidation>
  </dataValidations>
  <pageMargins left="0.59055118110236227" right="0.23622047244094491" top="0.31496062992125984" bottom="0.35433070866141736" header="0.15748031496062992" footer="0.19685039370078741"/>
  <pageSetup paperSize="8" scale="40" fitToHeight="0" orientation="landscape" r:id="rId1"/>
  <ignoredErrors>
    <ignoredError sqref="D46 D55 D13 E46 E55 E13" unlockedFormula="1"/>
    <ignoredError sqref="H28 H33 I28 I33" 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4">
    <tabColor theme="8" tint="-0.249977111117893"/>
  </sheetPr>
  <dimension ref="A1:O79"/>
  <sheetViews>
    <sheetView showGridLines="0" zoomScale="80" zoomScaleNormal="80" workbookViewId="0">
      <pane ySplit="2" topLeftCell="A3" activePane="bottomLeft" state="frozen"/>
      <selection activeCell="B4" sqref="B4"/>
      <selection pane="bottomLeft" activeCell="D7" sqref="D7"/>
    </sheetView>
  </sheetViews>
  <sheetFormatPr defaultColWidth="8.85546875" defaultRowHeight="15" x14ac:dyDescent="0.25"/>
  <cols>
    <col min="1" max="1" width="7.85546875" customWidth="1"/>
    <col min="2" max="2" width="40.85546875" customWidth="1"/>
    <col min="3" max="6" width="18.140625" customWidth="1"/>
    <col min="7" max="7" width="4.42578125" customWidth="1"/>
    <col min="8" max="15" width="10.85546875" style="308" customWidth="1"/>
  </cols>
  <sheetData>
    <row r="1" spans="1:15" ht="54.95" customHeight="1" thickBot="1" x14ac:dyDescent="0.3">
      <c r="A1" s="318"/>
      <c r="B1" s="496" t="s">
        <v>14</v>
      </c>
      <c r="E1" s="497"/>
      <c r="H1" s="315"/>
      <c r="I1" s="315"/>
      <c r="J1" s="315"/>
      <c r="K1" s="315"/>
      <c r="L1" s="315"/>
      <c r="M1" s="315"/>
      <c r="N1" s="315"/>
      <c r="O1" s="315"/>
    </row>
    <row r="2" spans="1:15" ht="46.35" customHeight="1" thickBot="1" x14ac:dyDescent="0.3">
      <c r="A2" s="677" t="s">
        <v>900</v>
      </c>
      <c r="B2" s="678"/>
      <c r="C2" s="566" t="s">
        <v>901</v>
      </c>
      <c r="D2" s="567" t="s">
        <v>902</v>
      </c>
      <c r="E2" s="187" t="s">
        <v>903</v>
      </c>
      <c r="F2" s="454" t="s">
        <v>904</v>
      </c>
      <c r="H2" s="315"/>
      <c r="I2" s="315"/>
      <c r="J2" s="315"/>
      <c r="K2" s="315"/>
      <c r="L2" s="315"/>
      <c r="M2" s="315"/>
      <c r="N2" s="315"/>
      <c r="O2" s="315"/>
    </row>
    <row r="3" spans="1:15" ht="20.100000000000001" customHeight="1" x14ac:dyDescent="0.25">
      <c r="A3" s="679" t="s">
        <v>905</v>
      </c>
      <c r="B3" s="560" t="s">
        <v>906</v>
      </c>
      <c r="C3" s="568" t="s">
        <v>29</v>
      </c>
      <c r="D3" s="562"/>
      <c r="E3" s="330" t="str">
        <f>'QT-Acquedotto'!D22</f>
        <v>SI</v>
      </c>
      <c r="F3" s="325" t="str">
        <f>'QT-Acquedotto'!E22</f>
        <v>SI</v>
      </c>
      <c r="H3" s="315"/>
      <c r="I3" s="315"/>
      <c r="J3" s="315"/>
      <c r="K3" s="315"/>
      <c r="L3" s="315"/>
      <c r="M3" s="315"/>
      <c r="N3" s="315"/>
      <c r="O3" s="315"/>
    </row>
    <row r="4" spans="1:15" ht="20.100000000000001" customHeight="1" x14ac:dyDescent="0.25">
      <c r="A4" s="675"/>
      <c r="B4" s="561" t="s">
        <v>907</v>
      </c>
      <c r="C4" s="569" t="s">
        <v>82</v>
      </c>
      <c r="D4" s="563"/>
      <c r="E4" s="500" t="str">
        <f>IF('QT-Acquedotto'!D23="","",'QT-Acquedotto'!D23)</f>
        <v>Adeguato</v>
      </c>
      <c r="F4" s="503" t="str">
        <f>IF('QT-Acquedotto'!E23="","",'QT-Acquedotto'!E23)</f>
        <v>Adeguato</v>
      </c>
    </row>
    <row r="5" spans="1:15" ht="20.100000000000001" customHeight="1" x14ac:dyDescent="0.25">
      <c r="A5" s="675"/>
      <c r="B5" s="561" t="s">
        <v>134</v>
      </c>
      <c r="C5" s="578">
        <v>5.41</v>
      </c>
      <c r="D5" s="564">
        <f>IF(C7="A",C5,C9)</f>
        <v>5.3018000000000001</v>
      </c>
      <c r="E5" s="331">
        <f>IF('QT-Acquedotto'!D44="","",'QT-Acquedotto'!D44)</f>
        <v>5.2983953875451917</v>
      </c>
      <c r="F5" s="197">
        <f>IF('QT-Acquedotto'!E44="","",'QT-Acquedotto'!E44)</f>
        <v>5.6293466412889277</v>
      </c>
    </row>
    <row r="6" spans="1:15" ht="20.100000000000001" customHeight="1" x14ac:dyDescent="0.25">
      <c r="A6" s="675"/>
      <c r="B6" s="561" t="s">
        <v>138</v>
      </c>
      <c r="C6" s="571">
        <v>0.31149646035406409</v>
      </c>
      <c r="D6" s="565">
        <f>IF(C7="A",C6,IF(C7="B",C6-(0.02*C6),IF(C7="C",C6-(0.04*C6),IF(C7="D",C6-(0.05*C6),IF(C7="E",C6-(0.06*C6),"")))))</f>
        <v>0.30526653114698282</v>
      </c>
      <c r="E6" s="332">
        <f>IF('QT-Acquedotto'!D45="","",'QT-Acquedotto'!D45)</f>
        <v>0.3076419748576425</v>
      </c>
      <c r="F6" s="199">
        <f>IF('QT-Acquedotto'!E45="","",'QT-Acquedotto'!E45)</f>
        <v>0.31970246801021751</v>
      </c>
    </row>
    <row r="7" spans="1:15" ht="20.100000000000001" customHeight="1" x14ac:dyDescent="0.25">
      <c r="A7" s="675"/>
      <c r="B7" s="561" t="s">
        <v>908</v>
      </c>
      <c r="C7" s="458" t="str">
        <f>IF(OR(C5="",C6=""),"",IF(AND(C5&lt;12,C6&lt;0.25),"A",IF(AND(C5&lt;20,C6&lt;0.35),"B",IF(AND(C5&lt;35,C6&lt;0.45),"C",IF(AND(C5&lt;55,C6&lt;0.55),"D","E")))))</f>
        <v>B</v>
      </c>
      <c r="D7" s="459" t="str">
        <f>IF(OR(D5="",D6=""),"",IF(AND(D5&lt;12,D6&lt;0.25),"A",IF(AND(D5&lt;20,D6&lt;0.35),"B",IF(AND(D5&lt;35,D6&lt;0.45),"C",IF(AND(D5&lt;55,D6&lt;0.55),"D","E")))))</f>
        <v>B</v>
      </c>
      <c r="E7" s="188" t="str">
        <f>IF(OR(E5="",E6=""),"",IF(AND(E5&lt;12,E6&lt;0.25),"A",IF(AND(E5&lt;20,E6&lt;0.35),"B",IF(AND(E5&lt;35,E6&lt;0.45),"C",IF(AND(E5&lt;55,E6&lt;0.55),"D","E")))))</f>
        <v>B</v>
      </c>
      <c r="F7" s="27" t="str">
        <f>IF(OR(F5="",F6=""),"",IF(AND(F5&lt;12,F6&lt;0.25),"A",IF(AND(F5&lt;20,F6&lt;0.35),"B",IF(AND(F5&lt;35,F6&lt;0.45),"C",IF(AND(F5&lt;55,F6&lt;0.55),"D","E")))))</f>
        <v>B</v>
      </c>
    </row>
    <row r="8" spans="1:15" ht="20.100000000000001" customHeight="1" x14ac:dyDescent="0.25">
      <c r="A8" s="675"/>
      <c r="B8" s="561" t="s">
        <v>909</v>
      </c>
      <c r="C8" s="458" t="str">
        <f t="shared" ref="C8" si="0">IF(C7="A","Mantenimento",IF(C7="B","-2% di M1a",IF(C7="C","-4% di M1a",IF(C7="D","-5% di M1a",IF(C7="E","-6% di M1a","")))))</f>
        <v>-2% di M1a</v>
      </c>
      <c r="D8" s="459" t="str">
        <f t="shared" ref="D8" si="1">IF(D7="A","Mantenimento",IF(D7="B","-2% di M1a",IF(D7="C","-4% di M1a",IF(D7="D","-5% di M1a",IF(D7="E","-6% di M1a","")))))</f>
        <v>-2% di M1a</v>
      </c>
      <c r="E8" s="189"/>
      <c r="F8" s="134"/>
    </row>
    <row r="9" spans="1:15" ht="20.100000000000001" customHeight="1" x14ac:dyDescent="0.25">
      <c r="A9" s="675"/>
      <c r="B9" s="561" t="s">
        <v>910</v>
      </c>
      <c r="C9" s="460">
        <f>IF(C7="A","",IF(C7="B",C5-(0.02*C5),IF(C7="C",C5-(0.04*C5),IF(C7="D",C5-(0.05*C5),IF(C7="E",C5-(0.06*C5),"")))))</f>
        <v>5.3018000000000001</v>
      </c>
      <c r="D9" s="461">
        <f>IF(D7="A","",IF(D7="B",D5-(0.02*D5),IF(D7="C",D5-(0.04*D5),IF(D7="D",D5-(0.05*D5),IF(D7="E",D5-(0.06*D5),"")))))</f>
        <v>5.1957640000000005</v>
      </c>
      <c r="E9" s="189"/>
      <c r="F9" s="134"/>
    </row>
    <row r="10" spans="1:15" ht="20.100000000000001" customHeight="1" x14ac:dyDescent="0.25">
      <c r="A10" s="675"/>
      <c r="B10" s="561" t="s">
        <v>911</v>
      </c>
      <c r="C10" s="462" t="s">
        <v>912</v>
      </c>
      <c r="D10" s="456"/>
      <c r="E10" s="189"/>
      <c r="F10" s="319" t="str">
        <f>IF(D7="","",IF(OR(AND(D7="A",F7="A"),AND(F64="SI",D7&lt;&gt;"A",F5&lt;=D9)),"SI","NO"))</f>
        <v>NO</v>
      </c>
    </row>
    <row r="11" spans="1:15" ht="32.1" customHeight="1" thickBot="1" x14ac:dyDescent="0.3">
      <c r="A11" s="676"/>
      <c r="B11" s="631" t="s">
        <v>913</v>
      </c>
      <c r="C11" s="572">
        <v>2019</v>
      </c>
      <c r="D11" s="573"/>
      <c r="E11" s="632"/>
      <c r="F11" s="322"/>
    </row>
    <row r="12" spans="1:15" ht="20.100000000000001" customHeight="1" x14ac:dyDescent="0.25">
      <c r="A12" s="679" t="s">
        <v>195</v>
      </c>
      <c r="B12" s="560" t="s">
        <v>914</v>
      </c>
      <c r="C12" s="568" t="s">
        <v>82</v>
      </c>
      <c r="D12" s="464"/>
      <c r="E12" s="333"/>
      <c r="F12" s="325" t="str">
        <f>IF('QT-Acquedotto'!E55="","",'QT-Acquedotto'!E55)</f>
        <v>Adeguato</v>
      </c>
    </row>
    <row r="13" spans="1:15" ht="20.100000000000001" customHeight="1" x14ac:dyDescent="0.25">
      <c r="A13" s="675"/>
      <c r="B13" s="561" t="s">
        <v>195</v>
      </c>
      <c r="C13" s="570">
        <v>5.4092535135231337E-2</v>
      </c>
      <c r="D13" s="465">
        <f>IF(C14="A",C13,IF(C14="B",C13-(0.02*C13),IF(C14="C",C13-(0.05*C13),"")))</f>
        <v>5.4092535135231337E-2</v>
      </c>
      <c r="E13" s="326">
        <f>IF('QT-Acquedotto'!D70="","",'QT-Acquedotto'!D70)</f>
        <v>0.19700705268772595</v>
      </c>
      <c r="F13" s="133">
        <f>IF('QT-Acquedotto'!E70="","",'QT-Acquedotto'!E70)</f>
        <v>0.17876946516201039</v>
      </c>
    </row>
    <row r="14" spans="1:15" ht="20.100000000000001" customHeight="1" x14ac:dyDescent="0.25">
      <c r="A14" s="675"/>
      <c r="B14" s="561" t="s">
        <v>908</v>
      </c>
      <c r="C14" s="466" t="str">
        <f>IF(C13="","",IF(C13&lt;6,"A",IF(C13&lt;12,"B","C")))</f>
        <v>A</v>
      </c>
      <c r="D14" s="467" t="str">
        <f t="shared" ref="D14:F14" si="2">IF(D13="","",IF(D13&lt;6,"A",IF(D13&lt;12,"B","C")))</f>
        <v>A</v>
      </c>
      <c r="E14" s="327" t="str">
        <f t="shared" si="2"/>
        <v>A</v>
      </c>
      <c r="F14" s="194" t="str">
        <f t="shared" si="2"/>
        <v>A</v>
      </c>
    </row>
    <row r="15" spans="1:15" ht="20.100000000000001" customHeight="1" x14ac:dyDescent="0.25">
      <c r="A15" s="675"/>
      <c r="B15" s="561" t="s">
        <v>909</v>
      </c>
      <c r="C15" s="458" t="str">
        <f t="shared" ref="C15:D15" si="3">IF(C14="A","Mantenimento",IF(C14="B","-2% di M2",IF(C14="C","-5% di M2","")))</f>
        <v>Mantenimento</v>
      </c>
      <c r="D15" s="459" t="str">
        <f t="shared" si="3"/>
        <v>Mantenimento</v>
      </c>
      <c r="E15" s="188" t="str">
        <f>IF(E14="A","Mantenimento",IF(E14="B","-2% di M2",IF(E14="C","-5% di M2","")))</f>
        <v>Mantenimento</v>
      </c>
      <c r="F15" s="27" t="str">
        <f t="shared" ref="F15" si="4">IF(F14="A","Mantenimento",IF(F14="B","-2% di M2",IF(F14="C","-5% di M2","")))</f>
        <v>Mantenimento</v>
      </c>
    </row>
    <row r="16" spans="1:15" ht="20.100000000000001" customHeight="1" x14ac:dyDescent="0.25">
      <c r="A16" s="675"/>
      <c r="B16" s="561" t="s">
        <v>915</v>
      </c>
      <c r="C16" s="460" t="str">
        <f>IF(C14="A","",IF(C14="B",C13-(0.02*C13),IF(C14="C",C13-(0.05*C13),"")))</f>
        <v/>
      </c>
      <c r="D16" s="461" t="str">
        <f>IF(D14="A","",IF(D14="B",D13-(0.02*D13),IF(D14="C",D13-(0.05*D13),"")))</f>
        <v/>
      </c>
      <c r="E16" s="190"/>
      <c r="F16" s="195"/>
    </row>
    <row r="17" spans="1:12" ht="20.100000000000001" customHeight="1" x14ac:dyDescent="0.25">
      <c r="A17" s="675"/>
      <c r="B17" s="561" t="s">
        <v>911</v>
      </c>
      <c r="C17" s="462"/>
      <c r="D17" s="468"/>
      <c r="E17" s="191"/>
      <c r="F17" s="319" t="str">
        <f>IF(D14="","",IF(OR(AND(D14="A",F14="A"),AND(D14&lt;&gt;"A",F13&lt;=D16)),"SI","NO"))</f>
        <v>SI</v>
      </c>
    </row>
    <row r="18" spans="1:12" ht="32.1" customHeight="1" thickBot="1" x14ac:dyDescent="0.3">
      <c r="A18" s="676"/>
      <c r="B18" s="631" t="s">
        <v>916</v>
      </c>
      <c r="C18" s="499">
        <v>2019</v>
      </c>
      <c r="D18" s="581"/>
      <c r="E18" s="633"/>
      <c r="F18" s="324"/>
    </row>
    <row r="19" spans="1:12" ht="20.100000000000001" customHeight="1" x14ac:dyDescent="0.25">
      <c r="A19" s="679" t="s">
        <v>917</v>
      </c>
      <c r="B19" s="560" t="s">
        <v>918</v>
      </c>
      <c r="C19" s="568" t="s">
        <v>29</v>
      </c>
      <c r="D19" s="455"/>
      <c r="E19" s="334" t="str">
        <f>'QT-Acquedotto'!D101</f>
        <v>SI</v>
      </c>
      <c r="F19" s="323" t="str">
        <f>'QT-Acquedotto'!E101</f>
        <v>SI</v>
      </c>
    </row>
    <row r="20" spans="1:12" ht="20.100000000000001" customHeight="1" x14ac:dyDescent="0.25">
      <c r="A20" s="675"/>
      <c r="B20" s="561" t="s">
        <v>919</v>
      </c>
      <c r="C20" s="569" t="s">
        <v>82</v>
      </c>
      <c r="D20" s="456"/>
      <c r="E20" s="501" t="str">
        <f>IF('QT-Acquedotto'!D102="","",'QT-Acquedotto'!D102)</f>
        <v>Adeguato</v>
      </c>
      <c r="F20" s="502" t="str">
        <f>IF('QT-Acquedotto'!E102="","",'QT-Acquedotto'!E102)</f>
        <v>Adeguato</v>
      </c>
    </row>
    <row r="21" spans="1:12" ht="20.100000000000001" customHeight="1" x14ac:dyDescent="0.25">
      <c r="A21" s="675"/>
      <c r="B21" s="561" t="s">
        <v>281</v>
      </c>
      <c r="C21" s="574">
        <v>9.5059779689704246E-4</v>
      </c>
      <c r="D21" s="196">
        <f>IF(C24="","",IF(OR(C24="E",C24="B"),C26,C21))</f>
        <v>5.0029889844852124E-4</v>
      </c>
      <c r="E21" s="335">
        <f>IF('QT-Acquedotto'!D110="","",'QT-Acquedotto'!D110)</f>
        <v>6.4900639669927398E-5</v>
      </c>
      <c r="F21" s="196">
        <f>IF('QT-Acquedotto'!E110="","",'QT-Acquedotto'!E110)</f>
        <v>5.222501116940585E-5</v>
      </c>
      <c r="I21" s="309"/>
    </row>
    <row r="22" spans="1:12" ht="20.100000000000001" customHeight="1" x14ac:dyDescent="0.25">
      <c r="A22" s="675"/>
      <c r="B22" s="561" t="s">
        <v>295</v>
      </c>
      <c r="C22" s="575">
        <v>8.9695675387079551E-2</v>
      </c>
      <c r="D22" s="469">
        <f>IF(OR(C24="A",C24="B",C24="E"),C22,C27)</f>
        <v>8.9695675387079551E-2</v>
      </c>
      <c r="E22" s="336">
        <f>IF('QT-Acquedotto'!D115="","",'QT-Acquedotto'!D115)</f>
        <v>5.8665231431646932E-2</v>
      </c>
      <c r="F22" s="200">
        <f>IF('QT-Acquedotto'!E115="","",'QT-Acquedotto'!E115)</f>
        <v>4.9188906331763475E-2</v>
      </c>
      <c r="I22" s="310"/>
      <c r="L22" s="311"/>
    </row>
    <row r="23" spans="1:12" ht="20.100000000000001" customHeight="1" x14ac:dyDescent="0.25">
      <c r="A23" s="675"/>
      <c r="B23" s="561" t="s">
        <v>309</v>
      </c>
      <c r="C23" s="575">
        <v>8.2747354215498264E-3</v>
      </c>
      <c r="D23" s="469">
        <f>IF(C24="","",IF(C24="B",C28,C23))</f>
        <v>8.2747354215498264E-3</v>
      </c>
      <c r="E23" s="337">
        <f>IF('QT-Acquedotto'!D121="","",'QT-Acquedotto'!D121)</f>
        <v>5.2251472692781313E-3</v>
      </c>
      <c r="F23" s="200">
        <f>IF('QT-Acquedotto'!E121="","",'QT-Acquedotto'!E121)</f>
        <v>4.1893590280687055E-3</v>
      </c>
      <c r="I23" s="310"/>
      <c r="J23" s="312"/>
      <c r="K23" s="313"/>
    </row>
    <row r="24" spans="1:12" ht="20.100000000000001" customHeight="1" x14ac:dyDescent="0.25">
      <c r="A24" s="675"/>
      <c r="B24" s="561" t="s">
        <v>908</v>
      </c>
      <c r="C24" s="458" t="str">
        <f>IF(C21="","",IF(AND(C21="",C22="",C23=""),"",IF(C21&gt;(0.005/100),"E",IF(C22&gt;(5/100),"D",IF(C22&gt;(0.5/100),"C",IF(C23&gt;(0.1/100),"B",IF(AND(C23&lt;=(0.1/100),C21=0),"A","B")))))))</f>
        <v>E</v>
      </c>
      <c r="D24" s="459" t="str">
        <f t="shared" ref="D24:F24" si="5">IF(D21="","",IF(AND(D21="",D22="",D23=""),"",IF(D21&gt;(0.005/100),"E",IF(D22&gt;(5/100),"D",IF(D22&gt;(0.5/100),"C",IF(D23&gt;(0.1/100),"B",IF(AND(D23&lt;=(0.1/100),D21=0),"A","B")))))))</f>
        <v>E</v>
      </c>
      <c r="E24" s="188" t="str">
        <f t="shared" si="5"/>
        <v>E</v>
      </c>
      <c r="F24" s="27" t="str">
        <f t="shared" si="5"/>
        <v>E</v>
      </c>
      <c r="I24" s="310"/>
      <c r="J24" s="312"/>
      <c r="K24" s="313"/>
    </row>
    <row r="25" spans="1:12" ht="28.5" customHeight="1" x14ac:dyDescent="0.25">
      <c r="A25" s="675"/>
      <c r="B25" s="561" t="s">
        <v>909</v>
      </c>
      <c r="C25" s="470" t="str">
        <f t="shared" ref="C25:D25" si="6">IF(C24="A","Mantenimento",IF(C24="B","M3a=0 e -10% di M3c",IF(OR(C24="C",C24="D",C24="E"),"Classe prec. in 2 anni","")))</f>
        <v>Classe prec. in 2 anni</v>
      </c>
      <c r="D25" s="471" t="str">
        <f t="shared" si="6"/>
        <v>Classe prec. in 2 anni</v>
      </c>
      <c r="E25" s="192"/>
      <c r="F25" s="320"/>
      <c r="I25" s="309"/>
    </row>
    <row r="26" spans="1:12" ht="20.100000000000001" customHeight="1" x14ac:dyDescent="0.25">
      <c r="A26" s="675"/>
      <c r="B26" s="561" t="s">
        <v>920</v>
      </c>
      <c r="C26" s="506">
        <f>IF(C24="E",(0.5*(C21-0.00005)+0.00005),IF(C24="B",0,""))</f>
        <v>5.0029889844852124E-4</v>
      </c>
      <c r="D26" s="507">
        <f>IF(D24="E",0.00005,IF(D24="B",0,""))</f>
        <v>5.0000000000000002E-5</v>
      </c>
      <c r="E26" s="192"/>
      <c r="F26" s="320"/>
    </row>
    <row r="27" spans="1:12" ht="20.100000000000001" customHeight="1" x14ac:dyDescent="0.25">
      <c r="A27" s="675"/>
      <c r="B27" s="561" t="s">
        <v>921</v>
      </c>
      <c r="C27" s="472" t="str">
        <f>IF(C24="E","",IF(C24="D",(0.5*(C22-0.05)+0.05),IF(C24="C",(0.5*(C22-0.005)+0.005),"")))</f>
        <v/>
      </c>
      <c r="D27" s="473" t="str">
        <f>IF(D24="E","",IF(D24="D",0.05,IF(D24="C",0.005,"")))</f>
        <v/>
      </c>
      <c r="E27" s="192"/>
      <c r="F27" s="320"/>
    </row>
    <row r="28" spans="1:12" ht="20.100000000000001" customHeight="1" x14ac:dyDescent="0.25">
      <c r="A28" s="675"/>
      <c r="B28" s="561" t="s">
        <v>922</v>
      </c>
      <c r="C28" s="472" t="str">
        <f>IF(C24="B",C23*(1-0.1),"")</f>
        <v/>
      </c>
      <c r="D28" s="473" t="str">
        <f>IF(D24="B",D23*(1-0.1),"")</f>
        <v/>
      </c>
      <c r="E28" s="192"/>
      <c r="F28" s="320"/>
    </row>
    <row r="29" spans="1:12" ht="20.100000000000001" customHeight="1" x14ac:dyDescent="0.25">
      <c r="A29" s="675"/>
      <c r="B29" s="561" t="s">
        <v>911</v>
      </c>
      <c r="C29" s="462"/>
      <c r="D29" s="474"/>
      <c r="E29" s="192"/>
      <c r="F29" s="319" t="str">
        <f>IF(D24="","",IF(OR(AND(D24="A",F24="A"),AND(F65="SI",D24&lt;&gt;"A",F21&lt;=D26,F22&lt;=D27,F23&lt;=D28)),"SI","NO"))</f>
        <v>NO</v>
      </c>
    </row>
    <row r="30" spans="1:12" ht="32.1" customHeight="1" thickBot="1" x14ac:dyDescent="0.3">
      <c r="A30" s="676"/>
      <c r="B30" s="631" t="s">
        <v>923</v>
      </c>
      <c r="C30" s="572">
        <v>2019</v>
      </c>
      <c r="D30" s="573"/>
      <c r="E30" s="632"/>
      <c r="F30" s="322"/>
    </row>
    <row r="31" spans="1:12" ht="20.100000000000001" customHeight="1" x14ac:dyDescent="0.25">
      <c r="A31" s="679" t="s">
        <v>924</v>
      </c>
      <c r="B31" s="576" t="s">
        <v>925</v>
      </c>
      <c r="C31" s="568" t="s">
        <v>29</v>
      </c>
      <c r="D31" s="455"/>
      <c r="E31" s="334" t="str">
        <f>'QT-Fognatura'!D16</f>
        <v>SI</v>
      </c>
      <c r="F31" s="323" t="str">
        <f>'QT-Fognatura'!E16</f>
        <v>SI</v>
      </c>
    </row>
    <row r="32" spans="1:12" ht="20.100000000000001" customHeight="1" x14ac:dyDescent="0.25">
      <c r="A32" s="675"/>
      <c r="B32" s="577" t="s">
        <v>926</v>
      </c>
      <c r="C32" s="569" t="s">
        <v>82</v>
      </c>
      <c r="D32" s="456"/>
      <c r="E32" s="501" t="str">
        <f>IF('QT-Fognatura'!D17="","",'QT-Fognatura'!D17)</f>
        <v>Adeguato</v>
      </c>
      <c r="F32" s="502" t="str">
        <f>IF('QT-Fognatura'!E17="","",'QT-Fognatura'!E17)</f>
        <v>Adeguato</v>
      </c>
    </row>
    <row r="33" spans="1:6" ht="20.100000000000001" customHeight="1" x14ac:dyDescent="0.25">
      <c r="A33" s="675"/>
      <c r="B33" s="561" t="s">
        <v>421</v>
      </c>
      <c r="C33" s="578">
        <v>1.5360268106497859</v>
      </c>
      <c r="D33" s="475">
        <f>IF(C36="","",IF(C36="E",C38,C33))</f>
        <v>1.3824241295848072</v>
      </c>
      <c r="E33" s="328">
        <f>IF('QT-Fognatura'!D28="","",'QT-Fognatura'!D28)</f>
        <v>1.3750507473862452</v>
      </c>
      <c r="F33" s="321">
        <f>IF('QT-Fognatura'!E28="","",'QT-Fognatura'!E28)</f>
        <v>1.4353503857301533</v>
      </c>
    </row>
    <row r="34" spans="1:6" ht="20.100000000000001" customHeight="1" x14ac:dyDescent="0.25">
      <c r="A34" s="675"/>
      <c r="B34" s="561" t="s">
        <v>431</v>
      </c>
      <c r="C34" s="602">
        <v>0</v>
      </c>
      <c r="D34" s="603">
        <f>IF(C36="","",IF(OR(C36="C",C36="D"),C39,C34))</f>
        <v>0</v>
      </c>
      <c r="E34" s="329">
        <f>IF('QT-Fognatura'!D32="","",'QT-Fognatura'!D32)</f>
        <v>0</v>
      </c>
      <c r="F34" s="198">
        <f>IF('QT-Fognatura'!E32="","",'QT-Fognatura'!E32)</f>
        <v>0</v>
      </c>
    </row>
    <row r="35" spans="1:6" ht="20.100000000000001" customHeight="1" x14ac:dyDescent="0.25">
      <c r="A35" s="675"/>
      <c r="B35" s="561" t="s">
        <v>442</v>
      </c>
      <c r="C35" s="602">
        <v>0.19047619047619047</v>
      </c>
      <c r="D35" s="603">
        <f>IF(C36="","",IF(C36="B",C40,C35))</f>
        <v>0.19047619047619047</v>
      </c>
      <c r="E35" s="329">
        <f>IF('QT-Fognatura'!D36="","",'QT-Fognatura'!D36)</f>
        <v>0.22587719298245615</v>
      </c>
      <c r="F35" s="198">
        <f>IF('QT-Fognatura'!E36="","",'QT-Fognatura'!E36)</f>
        <v>0.6271929824561403</v>
      </c>
    </row>
    <row r="36" spans="1:6" ht="20.100000000000001" customHeight="1" x14ac:dyDescent="0.25">
      <c r="A36" s="675"/>
      <c r="B36" s="561" t="s">
        <v>908</v>
      </c>
      <c r="C36" s="458" t="str">
        <f>IF(C33="","",IF(AND(C33="",C34="",C35=""),"",IF(C33&gt;=1,"E",IF(AND(C33&lt;1,C34="",C35=""),"A",IF(C34&gt;0.2,"D",IF(AND(C34&gt;0,C34&lt;=0.2),"C",IF(C35&gt;0.1,"B","A")))))))</f>
        <v>E</v>
      </c>
      <c r="D36" s="459" t="str">
        <f>IF(D33="","",IF(AND(D33="",D34="",D35=""),"",IF(D33&gt;=1,"E",IF(AND(D33&lt;1,D34="",D35=""),"A",IF(D34&gt;0.2,"D",IF(AND(D34&gt;0,D34&lt;=0.2),"C",IF(D35&gt;0.1,"B","A")))))))</f>
        <v>E</v>
      </c>
      <c r="E36" s="188" t="str">
        <f t="shared" ref="E36:F36" si="7">IF(E33="","",IF(AND(E33="",E34="",E35=""),"",IF(E33&gt;=1,"E",IF(AND(E33&lt;1,E34="",E35=""),"A",IF(E34&gt;0.2,"D",IF(AND(E34&gt;0,E34&lt;=0.2),"C",IF(E35&gt;0.1,"B","A")))))))</f>
        <v>E</v>
      </c>
      <c r="F36" s="27" t="str">
        <f t="shared" si="7"/>
        <v>E</v>
      </c>
    </row>
    <row r="37" spans="1:6" ht="20.100000000000001" customHeight="1" x14ac:dyDescent="0.25">
      <c r="A37" s="675"/>
      <c r="B37" s="561" t="s">
        <v>909</v>
      </c>
      <c r="C37" s="477" t="str">
        <f>IF(C36="E","-10% di M4a",IF(C36="D","-10% di M4b",IF(C36="C","-7% di M4b",IF(C36="B","-5% di M4c",IF(C36="A","Mantenimento","")))))</f>
        <v>-10% di M4a</v>
      </c>
      <c r="D37" s="478" t="str">
        <f t="shared" ref="D37" si="8">IF(D36="E","-10% di M4a",IF(D36="D","-10% di M4b",IF(D36="C","-7% di M4b",IF(D36="B","-5% di M4c",IF(D36="A","Mantenimento","")))))</f>
        <v>-10% di M4a</v>
      </c>
      <c r="E37" s="192"/>
      <c r="F37" s="320"/>
    </row>
    <row r="38" spans="1:6" ht="20.100000000000001" customHeight="1" x14ac:dyDescent="0.25">
      <c r="A38" s="675"/>
      <c r="B38" s="561" t="s">
        <v>927</v>
      </c>
      <c r="C38" s="339">
        <f>IF(C36="E",C33-(0.1*C33),"")</f>
        <v>1.3824241295848072</v>
      </c>
      <c r="D38" s="475">
        <f>IF(D36="E",D33-(0.1*D33),"")</f>
        <v>1.2441817166263265</v>
      </c>
      <c r="E38" s="192"/>
      <c r="F38" s="320"/>
    </row>
    <row r="39" spans="1:6" ht="20.100000000000001" customHeight="1" x14ac:dyDescent="0.25">
      <c r="A39" s="675"/>
      <c r="B39" s="561" t="s">
        <v>928</v>
      </c>
      <c r="C39" s="340" t="str">
        <f>IF(C36="D",C34-(0.1*C34),IF(C36="C",C34-(0.07*C34),""))</f>
        <v/>
      </c>
      <c r="D39" s="476" t="str">
        <f>IF(D36="D",D34-(0.1*D34),IF(D36="C",D34-(0.07*D34),""))</f>
        <v/>
      </c>
      <c r="E39" s="192"/>
      <c r="F39" s="320"/>
    </row>
    <row r="40" spans="1:6" ht="20.100000000000001" customHeight="1" x14ac:dyDescent="0.25">
      <c r="A40" s="675"/>
      <c r="B40" s="561" t="s">
        <v>929</v>
      </c>
      <c r="C40" s="340" t="str">
        <f>IF(C36="B",C35-(0.05*C35),"")</f>
        <v/>
      </c>
      <c r="D40" s="476" t="str">
        <f>IF(D36="B",D35-(0.05*D35),"")</f>
        <v/>
      </c>
      <c r="E40" s="192"/>
      <c r="F40" s="320"/>
    </row>
    <row r="41" spans="1:6" ht="20.100000000000001" customHeight="1" x14ac:dyDescent="0.25">
      <c r="A41" s="675"/>
      <c r="B41" s="561" t="s">
        <v>911</v>
      </c>
      <c r="C41" s="462"/>
      <c r="D41" s="474"/>
      <c r="E41" s="192"/>
      <c r="F41" s="319" t="str">
        <f>IF(D36="","",IF(OR(AND(D36="A",F36="A"),AND(F66="SI",D36&lt;&gt;"A",F33&lt;=D38,F34&lt;=D39,F35&lt;=D40)),"SI","NO"))</f>
        <v>NO</v>
      </c>
    </row>
    <row r="42" spans="1:6" ht="32.1" customHeight="1" thickBot="1" x14ac:dyDescent="0.3">
      <c r="A42" s="676"/>
      <c r="B42" s="631" t="s">
        <v>930</v>
      </c>
      <c r="C42" s="572">
        <v>2019</v>
      </c>
      <c r="D42" s="573"/>
      <c r="E42" s="632"/>
      <c r="F42" s="322"/>
    </row>
    <row r="43" spans="1:6" ht="20.100000000000001" customHeight="1" x14ac:dyDescent="0.25">
      <c r="A43" s="679" t="s">
        <v>530</v>
      </c>
      <c r="B43" s="576" t="s">
        <v>931</v>
      </c>
      <c r="C43" s="568" t="s">
        <v>29</v>
      </c>
      <c r="D43" s="455"/>
      <c r="E43" s="334" t="str">
        <f>'QT-Depurazione'!D17</f>
        <v>SI</v>
      </c>
      <c r="F43" s="323" t="str">
        <f>'QT-Depurazione'!E17</f>
        <v>SI</v>
      </c>
    </row>
    <row r="44" spans="1:6" ht="20.100000000000001" customHeight="1" x14ac:dyDescent="0.25">
      <c r="A44" s="675"/>
      <c r="B44" s="577" t="s">
        <v>932</v>
      </c>
      <c r="C44" s="569" t="s">
        <v>82</v>
      </c>
      <c r="D44" s="456"/>
      <c r="E44" s="501" t="str">
        <f>IF('QT-Depurazione'!D18="","",'QT-Depurazione'!D18)</f>
        <v>Adeguato</v>
      </c>
      <c r="F44" s="502" t="str">
        <f>IF('QT-Depurazione'!E18="","",'QT-Depurazione'!E18)</f>
        <v>Adeguato</v>
      </c>
    </row>
    <row r="45" spans="1:6" ht="20.100000000000001" customHeight="1" x14ac:dyDescent="0.25">
      <c r="A45" s="675"/>
      <c r="B45" s="579" t="s">
        <v>933</v>
      </c>
      <c r="C45" s="570">
        <v>0</v>
      </c>
      <c r="D45" s="457">
        <f>IF(C48="A",C45,C50)</f>
        <v>0</v>
      </c>
      <c r="E45" s="331">
        <f>IF('QT-Depurazione'!D31="","",'QT-Depurazione'!D31)</f>
        <v>0</v>
      </c>
      <c r="F45" s="197">
        <f>IF('QT-Depurazione'!E31="","",'QT-Depurazione'!E31)</f>
        <v>0</v>
      </c>
    </row>
    <row r="46" spans="1:6" ht="20.100000000000001" customHeight="1" x14ac:dyDescent="0.25">
      <c r="A46" s="675"/>
      <c r="B46" s="579" t="s">
        <v>528</v>
      </c>
      <c r="C46" s="571">
        <v>3.305541917506348E-2</v>
      </c>
      <c r="D46" s="479"/>
      <c r="E46" s="332">
        <f>IF('QT-Depurazione'!D32="","",'QT-Depurazione'!D32)</f>
        <v>3.1000000000000021E-2</v>
      </c>
      <c r="F46" s="199">
        <f>IF('QT-Depurazione'!E32="","",'QT-Depurazione'!E32)</f>
        <v>3.0499999999999999E-2</v>
      </c>
    </row>
    <row r="47" spans="1:6" ht="20.100000000000001" customHeight="1" x14ac:dyDescent="0.25">
      <c r="A47" s="675"/>
      <c r="B47" s="561" t="s">
        <v>530</v>
      </c>
      <c r="C47" s="575">
        <v>0</v>
      </c>
      <c r="D47" s="456"/>
      <c r="E47" s="337">
        <f>IF('QT-Depurazione'!D33="","",'QT-Depurazione'!D33)</f>
        <v>0</v>
      </c>
      <c r="F47" s="200">
        <f>IF('QT-Depurazione'!E33="","",'QT-Depurazione'!E33)</f>
        <v>0</v>
      </c>
    </row>
    <row r="48" spans="1:6" ht="20.100000000000001" customHeight="1" x14ac:dyDescent="0.25">
      <c r="A48" s="675"/>
      <c r="B48" s="561" t="s">
        <v>908</v>
      </c>
      <c r="C48" s="477" t="str">
        <f t="shared" ref="C48:F48" si="9">IF(C47="","",IF(C47&gt;=0.3,"D",IF(AND(C47&gt;=0.15,C46&lt;0.3),"C",IF(AND(C47&gt;=0.15,C46&gt;=0.3),"B","A"))))</f>
        <v>A</v>
      </c>
      <c r="D48" s="478" t="str">
        <f>C48</f>
        <v>A</v>
      </c>
      <c r="E48" s="193" t="str">
        <f t="shared" si="9"/>
        <v>A</v>
      </c>
      <c r="F48" s="174" t="str">
        <f t="shared" si="9"/>
        <v>A</v>
      </c>
    </row>
    <row r="49" spans="1:6" ht="20.100000000000001" customHeight="1" x14ac:dyDescent="0.25">
      <c r="A49" s="675"/>
      <c r="B49" s="561" t="s">
        <v>909</v>
      </c>
      <c r="C49" s="477" t="str">
        <f t="shared" ref="C49:D49" si="10">IF(C48="A","Mantenimento",IF(C48="B","-1% di MF tq,disc",IF(C48="C","-3% di MF tq,disc",IF(C48="D","-5% di MF tq,disc",""))))</f>
        <v>Mantenimento</v>
      </c>
      <c r="D49" s="478" t="str">
        <f t="shared" si="10"/>
        <v>Mantenimento</v>
      </c>
      <c r="E49" s="190"/>
      <c r="F49" s="195"/>
    </row>
    <row r="50" spans="1:6" ht="20.100000000000001" customHeight="1" x14ac:dyDescent="0.25">
      <c r="A50" s="675"/>
      <c r="B50" s="561" t="s">
        <v>934</v>
      </c>
      <c r="C50" s="460" t="str">
        <f>IF(C48="A","",IF(C48="B",C45-(0.01*C45),IF(C48="C",C45-(0.03*C45),IF(C48="D",C45-(0.05*C45),""))))</f>
        <v/>
      </c>
      <c r="D50" s="461" t="str">
        <f>IF(D48="A","",IF(D48="B",D45-(0.01*D45),IF(D48="C",D45-(0.03*D45),IF(D48="D",D45-(0.05*D45),""))))</f>
        <v/>
      </c>
      <c r="E50" s="190"/>
      <c r="F50" s="195"/>
    </row>
    <row r="51" spans="1:6" ht="20.100000000000001" customHeight="1" x14ac:dyDescent="0.25">
      <c r="A51" s="675"/>
      <c r="B51" s="561" t="s">
        <v>911</v>
      </c>
      <c r="C51" s="462"/>
      <c r="D51" s="456"/>
      <c r="E51" s="190"/>
      <c r="F51" s="319" t="str">
        <f>IF(D48="","",IF(OR(AND(D48="A",F48="A"),AND(F67="SI",D48&lt;&gt;"A",F45&lt;=D50)),"SI","NO"))</f>
        <v>SI</v>
      </c>
    </row>
    <row r="52" spans="1:6" ht="32.1" customHeight="1" thickBot="1" x14ac:dyDescent="0.3">
      <c r="A52" s="676"/>
      <c r="B52" s="631" t="s">
        <v>935</v>
      </c>
      <c r="C52" s="572">
        <v>2019</v>
      </c>
      <c r="D52" s="573"/>
      <c r="E52" s="632"/>
      <c r="F52" s="322"/>
    </row>
    <row r="53" spans="1:6" ht="20.100000000000001" customHeight="1" x14ac:dyDescent="0.25">
      <c r="A53" s="674" t="s">
        <v>625</v>
      </c>
      <c r="B53" s="580" t="s">
        <v>936</v>
      </c>
      <c r="C53" s="568" t="s">
        <v>29</v>
      </c>
      <c r="D53" s="455"/>
      <c r="E53" s="338" t="str">
        <f>'QT-Depurazione'!D61</f>
        <v>SI</v>
      </c>
      <c r="F53" s="314" t="str">
        <f>'QT-Depurazione'!E61</f>
        <v>SI</v>
      </c>
    </row>
    <row r="54" spans="1:6" ht="20.100000000000001" customHeight="1" x14ac:dyDescent="0.25">
      <c r="A54" s="675"/>
      <c r="B54" s="577" t="s">
        <v>937</v>
      </c>
      <c r="C54" s="569" t="s">
        <v>82</v>
      </c>
      <c r="D54" s="456"/>
      <c r="E54" s="501" t="str">
        <f>IF('QT-Depurazione'!D62="","",'QT-Depurazione'!D62)</f>
        <v>Adeguato</v>
      </c>
      <c r="F54" s="502" t="str">
        <f>IF('QT-Depurazione'!E62="","",'QT-Depurazione'!E62)</f>
        <v>Adeguato</v>
      </c>
    </row>
    <row r="55" spans="1:6" ht="20.100000000000001" customHeight="1" x14ac:dyDescent="0.25">
      <c r="A55" s="675"/>
      <c r="B55" s="561" t="s">
        <v>625</v>
      </c>
      <c r="C55" s="575">
        <v>6.8965517241379309E-2</v>
      </c>
      <c r="D55" s="469">
        <f>IF(C56="A",C55,C58)</f>
        <v>5.8620689655172413E-2</v>
      </c>
      <c r="E55" s="337">
        <f>IF('QT-Depurazione'!D79="","",'QT-Depurazione'!D79)</f>
        <v>6.699751861042183E-2</v>
      </c>
      <c r="F55" s="200">
        <f>IF('QT-Depurazione'!E79="","",'QT-Depurazione'!E79)</f>
        <v>5.0761421319796954E-2</v>
      </c>
    </row>
    <row r="56" spans="1:6" ht="20.100000000000001" customHeight="1" x14ac:dyDescent="0.25">
      <c r="A56" s="675"/>
      <c r="B56" s="561" t="s">
        <v>908</v>
      </c>
      <c r="C56" s="458" t="str">
        <f t="shared" ref="C56:F56" si="11">IF(C55="","",IF(C55&gt;=(10/100),"D",IF(C55&gt;=(5/100),"C",IF(C55&gt;=(1/100),"B","A"))))</f>
        <v>C</v>
      </c>
      <c r="D56" s="459" t="str">
        <f t="shared" si="11"/>
        <v>C</v>
      </c>
      <c r="E56" s="188" t="str">
        <f t="shared" si="11"/>
        <v>C</v>
      </c>
      <c r="F56" s="27" t="str">
        <f t="shared" si="11"/>
        <v>C</v>
      </c>
    </row>
    <row r="57" spans="1:6" ht="20.100000000000001" customHeight="1" x14ac:dyDescent="0.25">
      <c r="A57" s="675"/>
      <c r="B57" s="561" t="s">
        <v>909</v>
      </c>
      <c r="C57" s="458" t="str">
        <f t="shared" ref="C57:D57" si="12">IF(C56="A","Mantenimento",IF(C56="B","-10% di M6",IF(C56="C","-15% di M6",IF(C56="D","-20% di M6",""))))</f>
        <v>-15% di M6</v>
      </c>
      <c r="D57" s="459" t="str">
        <f t="shared" si="12"/>
        <v>-15% di M6</v>
      </c>
      <c r="E57" s="190"/>
      <c r="F57" s="195"/>
    </row>
    <row r="58" spans="1:6" ht="20.100000000000001" customHeight="1" x14ac:dyDescent="0.25">
      <c r="A58" s="675"/>
      <c r="B58" s="561" t="s">
        <v>938</v>
      </c>
      <c r="C58" s="480">
        <f>IF(C56="A","",IF(C56="B",C55-(0.1*C55),IF(C56="C",C55-(0.15*C55),IF(C56="D",C55-(0.2*C55),""))))</f>
        <v>5.8620689655172413E-2</v>
      </c>
      <c r="D58" s="481">
        <f>IF(D56="A","",IF(D56="B",D55-(0.1*D55),IF(D56="C",D55-(0.15*D55),IF(D56="D",D55-(0.2*D55),""))))</f>
        <v>4.9827586206896549E-2</v>
      </c>
      <c r="E58" s="190"/>
      <c r="F58" s="195"/>
    </row>
    <row r="59" spans="1:6" ht="20.100000000000001" customHeight="1" x14ac:dyDescent="0.25">
      <c r="A59" s="675"/>
      <c r="B59" s="561" t="s">
        <v>911</v>
      </c>
      <c r="C59" s="482"/>
      <c r="D59" s="456"/>
      <c r="E59" s="190"/>
      <c r="F59" s="319" t="str">
        <f>IF(D56="","",IF(OR(AND(D56="A",F56="A"),AND(D56&lt;&gt;"A",F55&lt;=D58)),"SI","NO"))</f>
        <v>NO</v>
      </c>
    </row>
    <row r="60" spans="1:6" ht="32.1" customHeight="1" thickBot="1" x14ac:dyDescent="0.3">
      <c r="A60" s="676"/>
      <c r="B60" s="631" t="s">
        <v>939</v>
      </c>
      <c r="C60" s="499">
        <v>2019</v>
      </c>
      <c r="D60" s="463"/>
      <c r="E60" s="632"/>
      <c r="F60" s="322"/>
    </row>
    <row r="62" spans="1:6" x14ac:dyDescent="0.25">
      <c r="C62" s="205" t="s">
        <v>940</v>
      </c>
    </row>
    <row r="63" spans="1:6" x14ac:dyDescent="0.25">
      <c r="E63" s="206">
        <v>2020</v>
      </c>
      <c r="F63" s="206">
        <v>2021</v>
      </c>
    </row>
    <row r="64" spans="1:6" x14ac:dyDescent="0.25">
      <c r="C64" s="342" t="s">
        <v>905</v>
      </c>
      <c r="D64" s="208"/>
      <c r="E64" s="582" t="str">
        <f>IF(OR(C7="",E7=""),"",IF(AND(C7="A",E7&lt;&gt;"A"),"NO",IF(AND(C7="B",OR(E7="C",E7="D",E7="E")),"NO",IF(AND(C7="C",OR(E7="D",E7="E")),"NO",IF(AND(C7="D",E7="E"),"NO","SI")))))</f>
        <v>SI</v>
      </c>
      <c r="F64" s="207" t="str">
        <f>IF(OR(D7="",F7=""),"",IF(AND(D7="A",F7&lt;&gt;"A"),"NO",IF(AND(D7="B",OR(F7="C",F7="D",F7="E")),"NO",IF(AND(D7="C",OR(F7="D",F7="E")),"NO",IF(AND(D7="D",F7="E"),"NO","SI")))))</f>
        <v>SI</v>
      </c>
    </row>
    <row r="65" spans="3:15" x14ac:dyDescent="0.25">
      <c r="C65" s="342" t="s">
        <v>917</v>
      </c>
      <c r="D65" s="208"/>
      <c r="E65" s="582" t="str">
        <f>IF(OR(C24="",E24=""),"",IF(AND(C24="A",E24&lt;&gt;"A"),"NO",IF(AND(C24="B",OR(E24="C",E24="D",E24="E")),"NO",IF(AND(C24="C",OR(E24="D",E24="E")),"NO",IF(AND(C24="D",E24="E"),"NO","SI")))))</f>
        <v>SI</v>
      </c>
      <c r="F65" s="207" t="str">
        <f>IF(OR(D24="",F24=""),"",IF(AND(D24="A",F24&lt;&gt;"A"),"NO",IF(AND(D24="B",OR(F24="C",F24="D",F24="E")),"NO",IF(AND(D24="C",OR(F24="D",F24="E")),"NO",IF(AND(D24="D",F24="E"),"NO","SI")))))</f>
        <v>SI</v>
      </c>
    </row>
    <row r="66" spans="3:15" x14ac:dyDescent="0.25">
      <c r="C66" s="342" t="s">
        <v>924</v>
      </c>
      <c r="D66" s="208"/>
      <c r="E66" s="582" t="str">
        <f>IF(OR(C36="",E36=""),"",IF(AND(C36="A",E36&lt;&gt;"A"),"NO",IF(AND(C36="B",OR(E36="C",E36="D",E36="E")),"NO",IF(AND(C36="C",OR(E36="D",E36="E")),"NO",IF(AND(C36="D",E36="E"),"NO","SI")))))</f>
        <v>SI</v>
      </c>
      <c r="F66" s="207" t="str">
        <f>IF(OR(D36="",F36=""),"",IF(AND(D36="A",F36&lt;&gt;"A"),"NO",IF(AND(D36="B",OR(F36="C",F36="D",F36="E")),"NO",IF(AND(D36="C",OR(F36="D",F36="E")),"NO",IF(AND(D36="D",F36="E"),"NO","SI")))))</f>
        <v>SI</v>
      </c>
    </row>
    <row r="67" spans="3:15" x14ac:dyDescent="0.25">
      <c r="C67" s="342" t="s">
        <v>530</v>
      </c>
      <c r="D67" s="208"/>
      <c r="E67" s="582" t="str">
        <f>IF(OR(C48="",E48=""),"",IF(AND(C48="A",E48&lt;&gt;"A"),"NO",IF(AND(C48="B",OR(E48="C",E48="D")),"NO",IF(AND(C48="C",E48="D"),"NO","SI"))))</f>
        <v>SI</v>
      </c>
      <c r="F67" s="207" t="str">
        <f>IF(OR(D48="",F48=""),"",IF(AND(D48="A",F48&lt;&gt;"A"),"NO",IF(AND(D48="B",OR(F48="C",F48="D")),"NO",IF(AND(D48="C",F48="D"),"NO","SI"))))</f>
        <v>SI</v>
      </c>
    </row>
    <row r="69" spans="3:15" x14ac:dyDescent="0.25">
      <c r="C69" s="135"/>
    </row>
    <row r="76" spans="3:15" hidden="1" x14ac:dyDescent="0.25">
      <c r="C76" s="204" t="s">
        <v>82</v>
      </c>
      <c r="H76"/>
      <c r="I76"/>
      <c r="J76"/>
      <c r="K76"/>
      <c r="L76"/>
      <c r="M76"/>
      <c r="N76"/>
      <c r="O76"/>
    </row>
    <row r="77" spans="3:15" hidden="1" x14ac:dyDescent="0.25">
      <c r="C77" s="204" t="s">
        <v>371</v>
      </c>
      <c r="H77"/>
      <c r="I77"/>
      <c r="J77"/>
      <c r="K77"/>
      <c r="L77"/>
      <c r="M77"/>
      <c r="N77"/>
      <c r="O77"/>
    </row>
    <row r="78" spans="3:15" hidden="1" x14ac:dyDescent="0.25">
      <c r="C78" s="204" t="s">
        <v>29</v>
      </c>
      <c r="H78"/>
      <c r="I78"/>
      <c r="J78"/>
      <c r="K78"/>
      <c r="L78"/>
      <c r="M78"/>
      <c r="N78"/>
      <c r="O78"/>
    </row>
    <row r="79" spans="3:15" hidden="1" x14ac:dyDescent="0.25">
      <c r="C79" s="204" t="s">
        <v>372</v>
      </c>
      <c r="H79"/>
      <c r="I79"/>
      <c r="J79"/>
      <c r="K79"/>
      <c r="L79"/>
      <c r="M79"/>
      <c r="N79"/>
      <c r="O79"/>
    </row>
  </sheetData>
  <sheetProtection sheet="1" objects="1" scenarios="1"/>
  <mergeCells count="7">
    <mergeCell ref="A53:A60"/>
    <mergeCell ref="A2:B2"/>
    <mergeCell ref="A3:A11"/>
    <mergeCell ref="A12:A18"/>
    <mergeCell ref="A19:A30"/>
    <mergeCell ref="A31:A42"/>
    <mergeCell ref="A43:A52"/>
  </mergeCells>
  <conditionalFormatting sqref="F41">
    <cfRule type="containsText" dxfId="11" priority="13" operator="containsText" text="NO">
      <formula>NOT(ISERROR(SEARCH("NO",F41)))</formula>
    </cfRule>
    <cfRule type="containsText" dxfId="10" priority="14" operator="containsText" text="SI">
      <formula>NOT(ISERROR(SEARCH("SI",F41)))</formula>
    </cfRule>
  </conditionalFormatting>
  <conditionalFormatting sqref="F10">
    <cfRule type="containsText" dxfId="9" priority="11" operator="containsText" text="NO">
      <formula>NOT(ISERROR(SEARCH("NO",F10)))</formula>
    </cfRule>
    <cfRule type="containsText" dxfId="8" priority="12" operator="containsText" text="SI">
      <formula>NOT(ISERROR(SEARCH("SI",F10)))</formula>
    </cfRule>
  </conditionalFormatting>
  <conditionalFormatting sqref="F29">
    <cfRule type="containsText" dxfId="7" priority="7" operator="containsText" text="NO">
      <formula>NOT(ISERROR(SEARCH("NO",F29)))</formula>
    </cfRule>
    <cfRule type="containsText" dxfId="6" priority="8" operator="containsText" text="SI">
      <formula>NOT(ISERROR(SEARCH("SI",F29)))</formula>
    </cfRule>
  </conditionalFormatting>
  <conditionalFormatting sqref="F51">
    <cfRule type="containsText" dxfId="5" priority="5" operator="containsText" text="NO">
      <formula>NOT(ISERROR(SEARCH("NO",F51)))</formula>
    </cfRule>
    <cfRule type="containsText" dxfId="4" priority="6" operator="containsText" text="SI">
      <formula>NOT(ISERROR(SEARCH("SI",F51)))</formula>
    </cfRule>
  </conditionalFormatting>
  <conditionalFormatting sqref="F59">
    <cfRule type="containsText" dxfId="3" priority="3" operator="containsText" text="NO">
      <formula>NOT(ISERROR(SEARCH("NO",F59)))</formula>
    </cfRule>
    <cfRule type="containsText" dxfId="2" priority="4" operator="containsText" text="SI">
      <formula>NOT(ISERROR(SEARCH("SI",F59)))</formula>
    </cfRule>
  </conditionalFormatting>
  <conditionalFormatting sqref="F17">
    <cfRule type="containsText" dxfId="1" priority="1" operator="containsText" text="NO">
      <formula>NOT(ISERROR(SEARCH("NO",F17)))</formula>
    </cfRule>
    <cfRule type="containsText" dxfId="0" priority="2" operator="containsText" text="SI">
      <formula>NOT(ISERROR(SEARCH("SI",F17)))</formula>
    </cfRule>
  </conditionalFormatting>
  <dataValidations count="2">
    <dataValidation type="list" allowBlank="1" showInputMessage="1" showErrorMessage="1" sqref="C4 C54 C44 C32 C20 C12" xr:uid="{00000000-0002-0000-0500-000000000000}">
      <formula1>$C$76:$C$77</formula1>
    </dataValidation>
    <dataValidation type="list" allowBlank="1" showInputMessage="1" showErrorMessage="1" sqref="C3 C53 C43 C31 C19" xr:uid="{00000000-0002-0000-0500-000001000000}">
      <formula1>$C$78:$C$79</formula1>
    </dataValidation>
  </dataValidations>
  <pageMargins left="0.43307086614173229" right="0.35433070866141736" top="0.37" bottom="0.44" header="0.22" footer="0.22"/>
  <pageSetup paperSize="9" scale="95" orientation="landscape" r:id="rId1"/>
  <rowBreaks count="1" manualBreakCount="1">
    <brk id="42" max="16383" man="1"/>
  </rowBreaks>
  <ignoredErrors>
    <ignoredError sqref="D48" formula="1"/>
  </ignoredError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9">
    <tabColor theme="7" tint="0.39997558519241921"/>
  </sheetPr>
  <dimension ref="B2:G2295"/>
  <sheetViews>
    <sheetView showGridLines="0" topLeftCell="A2289" zoomScale="80" zoomScaleNormal="80" workbookViewId="0"/>
  </sheetViews>
  <sheetFormatPr defaultColWidth="8.85546875" defaultRowHeight="12.75" x14ac:dyDescent="0.2"/>
  <cols>
    <col min="1" max="1" width="5.140625" style="121" customWidth="1"/>
    <col min="2" max="2" width="11.7109375" style="121" customWidth="1"/>
    <col min="3" max="3" width="53.5703125" style="121" customWidth="1"/>
    <col min="4" max="5" width="5.140625" style="121" customWidth="1"/>
    <col min="6" max="6" width="16.85546875" style="121" customWidth="1"/>
    <col min="7" max="7" width="83.42578125" style="121" customWidth="1"/>
    <col min="8" max="16384" width="8.85546875" style="121"/>
  </cols>
  <sheetData>
    <row r="2" spans="2:7" x14ac:dyDescent="0.2">
      <c r="B2" s="120" t="s">
        <v>941</v>
      </c>
      <c r="C2" s="120" t="s">
        <v>1</v>
      </c>
      <c r="F2" s="120" t="s">
        <v>942</v>
      </c>
      <c r="G2" s="122" t="s">
        <v>2</v>
      </c>
    </row>
    <row r="3" spans="2:7" x14ac:dyDescent="0.2">
      <c r="B3" s="123">
        <v>1</v>
      </c>
      <c r="C3" s="123" t="s">
        <v>943</v>
      </c>
      <c r="F3" s="123">
        <v>5</v>
      </c>
      <c r="G3" s="123" t="s">
        <v>944</v>
      </c>
    </row>
    <row r="4" spans="2:7" x14ac:dyDescent="0.2">
      <c r="B4" s="123">
        <v>101</v>
      </c>
      <c r="C4" s="123" t="s">
        <v>945</v>
      </c>
      <c r="F4" s="123">
        <v>52</v>
      </c>
      <c r="G4" s="123" t="s">
        <v>946</v>
      </c>
    </row>
    <row r="5" spans="2:7" x14ac:dyDescent="0.2">
      <c r="B5" s="123">
        <v>102</v>
      </c>
      <c r="C5" s="123" t="s">
        <v>947</v>
      </c>
      <c r="F5" s="123">
        <v>55</v>
      </c>
      <c r="G5" s="123" t="s">
        <v>948</v>
      </c>
    </row>
    <row r="6" spans="2:7" x14ac:dyDescent="0.2">
      <c r="B6" s="123">
        <v>103</v>
      </c>
      <c r="C6" s="123" t="s">
        <v>949</v>
      </c>
      <c r="F6" s="123">
        <v>78</v>
      </c>
      <c r="G6" s="123" t="s">
        <v>950</v>
      </c>
    </row>
    <row r="7" spans="2:7" x14ac:dyDescent="0.2">
      <c r="B7" s="123">
        <v>104</v>
      </c>
      <c r="C7" s="123" t="s">
        <v>951</v>
      </c>
      <c r="F7" s="123">
        <v>79</v>
      </c>
      <c r="G7" s="123" t="s">
        <v>952</v>
      </c>
    </row>
    <row r="8" spans="2:7" x14ac:dyDescent="0.2">
      <c r="B8" s="123">
        <v>105</v>
      </c>
      <c r="C8" s="123" t="s">
        <v>953</v>
      </c>
      <c r="F8" s="123">
        <v>183</v>
      </c>
      <c r="G8" s="123" t="s">
        <v>954</v>
      </c>
    </row>
    <row r="9" spans="2:7" x14ac:dyDescent="0.2">
      <c r="B9" s="123">
        <v>106</v>
      </c>
      <c r="C9" s="123" t="s">
        <v>955</v>
      </c>
      <c r="F9" s="123">
        <v>188</v>
      </c>
      <c r="G9" s="123" t="s">
        <v>956</v>
      </c>
    </row>
    <row r="10" spans="2:7" x14ac:dyDescent="0.2">
      <c r="B10" s="123">
        <v>201</v>
      </c>
      <c r="C10" s="123" t="s">
        <v>957</v>
      </c>
      <c r="F10" s="123">
        <v>199</v>
      </c>
      <c r="G10" s="123" t="s">
        <v>958</v>
      </c>
    </row>
    <row r="11" spans="2:7" x14ac:dyDescent="0.2">
      <c r="B11" s="123">
        <v>301</v>
      </c>
      <c r="C11" s="123" t="s">
        <v>959</v>
      </c>
      <c r="F11" s="123">
        <v>201</v>
      </c>
      <c r="G11" s="123" t="s">
        <v>960</v>
      </c>
    </row>
    <row r="12" spans="2:7" x14ac:dyDescent="0.2">
      <c r="B12" s="123">
        <v>302</v>
      </c>
      <c r="C12" s="123" t="s">
        <v>961</v>
      </c>
      <c r="F12" s="123">
        <v>206</v>
      </c>
      <c r="G12" s="123" t="s">
        <v>962</v>
      </c>
    </row>
    <row r="13" spans="2:7" x14ac:dyDescent="0.2">
      <c r="B13" s="123">
        <v>304</v>
      </c>
      <c r="C13" s="123" t="s">
        <v>963</v>
      </c>
      <c r="F13" s="123">
        <v>230</v>
      </c>
      <c r="G13" s="123" t="s">
        <v>964</v>
      </c>
    </row>
    <row r="14" spans="2:7" x14ac:dyDescent="0.2">
      <c r="B14" s="123">
        <v>305</v>
      </c>
      <c r="C14" s="123" t="s">
        <v>965</v>
      </c>
      <c r="F14" s="123">
        <v>245</v>
      </c>
      <c r="G14" s="123" t="s">
        <v>966</v>
      </c>
    </row>
    <row r="15" spans="2:7" x14ac:dyDescent="0.2">
      <c r="B15" s="123">
        <v>306</v>
      </c>
      <c r="C15" s="123" t="s">
        <v>967</v>
      </c>
      <c r="F15" s="123">
        <v>258</v>
      </c>
      <c r="G15" s="123" t="s">
        <v>968</v>
      </c>
    </row>
    <row r="16" spans="2:7" x14ac:dyDescent="0.2">
      <c r="B16" s="123">
        <v>307</v>
      </c>
      <c r="C16" s="123" t="s">
        <v>969</v>
      </c>
      <c r="F16" s="123">
        <v>259</v>
      </c>
      <c r="G16" s="123" t="s">
        <v>970</v>
      </c>
    </row>
    <row r="17" spans="2:7" x14ac:dyDescent="0.2">
      <c r="B17" s="123">
        <v>308</v>
      </c>
      <c r="C17" s="123" t="s">
        <v>971</v>
      </c>
      <c r="F17" s="123">
        <v>308</v>
      </c>
      <c r="G17" s="123" t="s">
        <v>972</v>
      </c>
    </row>
    <row r="18" spans="2:7" x14ac:dyDescent="0.2">
      <c r="B18" s="123">
        <v>309</v>
      </c>
      <c r="C18" s="123" t="s">
        <v>973</v>
      </c>
      <c r="F18" s="123">
        <v>314</v>
      </c>
      <c r="G18" s="123" t="s">
        <v>974</v>
      </c>
    </row>
    <row r="19" spans="2:7" x14ac:dyDescent="0.2">
      <c r="B19" s="123">
        <v>310</v>
      </c>
      <c r="C19" s="123" t="s">
        <v>975</v>
      </c>
      <c r="F19" s="123">
        <v>335</v>
      </c>
      <c r="G19" s="123" t="s">
        <v>976</v>
      </c>
    </row>
    <row r="20" spans="2:7" x14ac:dyDescent="0.2">
      <c r="B20" s="123">
        <v>311</v>
      </c>
      <c r="C20" s="123" t="s">
        <v>977</v>
      </c>
      <c r="F20" s="123">
        <v>349</v>
      </c>
      <c r="G20" s="123" t="s">
        <v>978</v>
      </c>
    </row>
    <row r="21" spans="2:7" x14ac:dyDescent="0.2">
      <c r="B21" s="123">
        <v>312</v>
      </c>
      <c r="C21" s="123" t="s">
        <v>979</v>
      </c>
      <c r="F21" s="123">
        <v>371</v>
      </c>
      <c r="G21" s="123" t="s">
        <v>980</v>
      </c>
    </row>
    <row r="22" spans="2:7" x14ac:dyDescent="0.2">
      <c r="B22" s="123">
        <v>313</v>
      </c>
      <c r="C22" s="123" t="s">
        <v>981</v>
      </c>
      <c r="F22" s="123">
        <v>380</v>
      </c>
      <c r="G22" s="123" t="s">
        <v>982</v>
      </c>
    </row>
    <row r="23" spans="2:7" x14ac:dyDescent="0.2">
      <c r="B23" s="123">
        <v>401</v>
      </c>
      <c r="C23" s="123" t="s">
        <v>983</v>
      </c>
      <c r="F23" s="123">
        <v>384</v>
      </c>
      <c r="G23" s="123" t="s">
        <v>984</v>
      </c>
    </row>
    <row r="24" spans="2:7" x14ac:dyDescent="0.2">
      <c r="B24" s="123">
        <v>402</v>
      </c>
      <c r="C24" s="123" t="s">
        <v>985</v>
      </c>
      <c r="F24" s="123">
        <v>424</v>
      </c>
      <c r="G24" s="123" t="s">
        <v>986</v>
      </c>
    </row>
    <row r="25" spans="2:7" x14ac:dyDescent="0.2">
      <c r="B25" s="123">
        <v>403</v>
      </c>
      <c r="C25" s="123" t="s">
        <v>987</v>
      </c>
      <c r="F25" s="123">
        <v>433</v>
      </c>
      <c r="G25" s="123" t="s">
        <v>988</v>
      </c>
    </row>
    <row r="26" spans="2:7" x14ac:dyDescent="0.2">
      <c r="B26" s="123">
        <v>404</v>
      </c>
      <c r="C26" s="123" t="s">
        <v>989</v>
      </c>
      <c r="F26" s="123">
        <v>436</v>
      </c>
      <c r="G26" s="123" t="s">
        <v>990</v>
      </c>
    </row>
    <row r="27" spans="2:7" x14ac:dyDescent="0.2">
      <c r="B27" s="123">
        <v>405</v>
      </c>
      <c r="C27" s="123" t="s">
        <v>991</v>
      </c>
      <c r="F27" s="123">
        <v>464</v>
      </c>
      <c r="G27" s="123" t="s">
        <v>992</v>
      </c>
    </row>
    <row r="28" spans="2:7" x14ac:dyDescent="0.2">
      <c r="B28" s="123">
        <v>501</v>
      </c>
      <c r="C28" s="123" t="s">
        <v>993</v>
      </c>
      <c r="F28" s="123">
        <v>542</v>
      </c>
      <c r="G28" s="123" t="s">
        <v>994</v>
      </c>
    </row>
    <row r="29" spans="2:7" x14ac:dyDescent="0.2">
      <c r="B29" s="123">
        <v>502</v>
      </c>
      <c r="C29" s="123" t="s">
        <v>995</v>
      </c>
      <c r="F29" s="123">
        <v>544</v>
      </c>
      <c r="G29" s="123" t="s">
        <v>996</v>
      </c>
    </row>
    <row r="30" spans="2:7" x14ac:dyDescent="0.2">
      <c r="B30" s="123">
        <v>503</v>
      </c>
      <c r="C30" s="123" t="s">
        <v>997</v>
      </c>
      <c r="F30" s="123">
        <v>583</v>
      </c>
      <c r="G30" s="123" t="s">
        <v>998</v>
      </c>
    </row>
    <row r="31" spans="2:7" x14ac:dyDescent="0.2">
      <c r="B31" s="123">
        <v>504</v>
      </c>
      <c r="C31" s="123" t="s">
        <v>999</v>
      </c>
      <c r="F31" s="123">
        <v>630</v>
      </c>
      <c r="G31" s="123" t="s">
        <v>1000</v>
      </c>
    </row>
    <row r="32" spans="2:7" x14ac:dyDescent="0.2">
      <c r="B32" s="123">
        <v>505</v>
      </c>
      <c r="C32" s="123" t="s">
        <v>1001</v>
      </c>
      <c r="F32" s="123">
        <v>650</v>
      </c>
      <c r="G32" s="123" t="s">
        <v>1002</v>
      </c>
    </row>
    <row r="33" spans="2:7" x14ac:dyDescent="0.2">
      <c r="B33" s="123">
        <v>506</v>
      </c>
      <c r="C33" s="123" t="s">
        <v>1003</v>
      </c>
      <c r="F33" s="123">
        <v>692</v>
      </c>
      <c r="G33" s="123" t="s">
        <v>1004</v>
      </c>
    </row>
    <row r="34" spans="2:7" x14ac:dyDescent="0.2">
      <c r="B34" s="123">
        <v>507</v>
      </c>
      <c r="C34" s="123" t="s">
        <v>1005</v>
      </c>
      <c r="F34" s="123">
        <v>723</v>
      </c>
      <c r="G34" s="123" t="s">
        <v>1006</v>
      </c>
    </row>
    <row r="35" spans="2:7" x14ac:dyDescent="0.2">
      <c r="B35" s="123">
        <v>508</v>
      </c>
      <c r="C35" s="123" t="s">
        <v>1007</v>
      </c>
      <c r="F35" s="123">
        <v>759</v>
      </c>
      <c r="G35" s="123" t="s">
        <v>1008</v>
      </c>
    </row>
    <row r="36" spans="2:7" x14ac:dyDescent="0.2">
      <c r="B36" s="123">
        <v>601</v>
      </c>
      <c r="C36" s="123" t="s">
        <v>1009</v>
      </c>
      <c r="F36" s="123">
        <v>779</v>
      </c>
      <c r="G36" s="123" t="s">
        <v>1010</v>
      </c>
    </row>
    <row r="37" spans="2:7" x14ac:dyDescent="0.2">
      <c r="B37" s="123">
        <v>602</v>
      </c>
      <c r="C37" s="123" t="s">
        <v>1011</v>
      </c>
      <c r="F37" s="123">
        <v>780</v>
      </c>
      <c r="G37" s="123" t="s">
        <v>1012</v>
      </c>
    </row>
    <row r="38" spans="2:7" x14ac:dyDescent="0.2">
      <c r="B38" s="123">
        <v>603</v>
      </c>
      <c r="C38" s="123" t="s">
        <v>1013</v>
      </c>
      <c r="F38" s="123">
        <v>805</v>
      </c>
      <c r="G38" s="123" t="s">
        <v>1014</v>
      </c>
    </row>
    <row r="39" spans="2:7" x14ac:dyDescent="0.2">
      <c r="B39" s="123">
        <v>604</v>
      </c>
      <c r="C39" s="123" t="s">
        <v>1015</v>
      </c>
      <c r="F39" s="123">
        <v>815</v>
      </c>
      <c r="G39" s="123" t="s">
        <v>1016</v>
      </c>
    </row>
    <row r="40" spans="2:7" x14ac:dyDescent="0.2">
      <c r="B40" s="123">
        <v>701</v>
      </c>
      <c r="C40" s="123" t="s">
        <v>1017</v>
      </c>
      <c r="F40" s="123">
        <v>841</v>
      </c>
      <c r="G40" s="123" t="s">
        <v>1018</v>
      </c>
    </row>
    <row r="41" spans="2:7" x14ac:dyDescent="0.2">
      <c r="B41" s="123">
        <v>702</v>
      </c>
      <c r="C41" s="123" t="s">
        <v>1019</v>
      </c>
      <c r="F41" s="123">
        <v>926</v>
      </c>
      <c r="G41" s="123" t="s">
        <v>1020</v>
      </c>
    </row>
    <row r="42" spans="2:7" x14ac:dyDescent="0.2">
      <c r="B42" s="123">
        <v>703</v>
      </c>
      <c r="C42" s="123" t="s">
        <v>1021</v>
      </c>
      <c r="F42" s="123">
        <v>927</v>
      </c>
      <c r="G42" s="123" t="s">
        <v>1022</v>
      </c>
    </row>
    <row r="43" spans="2:7" x14ac:dyDescent="0.2">
      <c r="B43" s="123">
        <v>705</v>
      </c>
      <c r="C43" s="123" t="s">
        <v>1023</v>
      </c>
      <c r="F43" s="123">
        <v>990</v>
      </c>
      <c r="G43" s="123" t="s">
        <v>1024</v>
      </c>
    </row>
    <row r="44" spans="2:7" x14ac:dyDescent="0.2">
      <c r="B44" s="123">
        <v>706</v>
      </c>
      <c r="C44" s="123" t="s">
        <v>1025</v>
      </c>
      <c r="F44" s="123">
        <v>992</v>
      </c>
      <c r="G44" s="123" t="s">
        <v>1026</v>
      </c>
    </row>
    <row r="45" spans="2:7" x14ac:dyDescent="0.2">
      <c r="B45" s="123">
        <v>801</v>
      </c>
      <c r="C45" s="123" t="s">
        <v>1027</v>
      </c>
      <c r="F45" s="123">
        <v>1042</v>
      </c>
      <c r="G45" s="123" t="s">
        <v>1028</v>
      </c>
    </row>
    <row r="46" spans="2:7" x14ac:dyDescent="0.2">
      <c r="B46" s="123">
        <v>802</v>
      </c>
      <c r="C46" s="123" t="s">
        <v>1029</v>
      </c>
      <c r="F46" s="123">
        <v>1045</v>
      </c>
      <c r="G46" s="123" t="s">
        <v>1030</v>
      </c>
    </row>
    <row r="47" spans="2:7" x14ac:dyDescent="0.2">
      <c r="B47" s="123">
        <v>803</v>
      </c>
      <c r="C47" s="123" t="s">
        <v>1031</v>
      </c>
      <c r="F47" s="123">
        <v>1090</v>
      </c>
      <c r="G47" s="123" t="s">
        <v>1032</v>
      </c>
    </row>
    <row r="48" spans="2:7" x14ac:dyDescent="0.2">
      <c r="B48" s="123">
        <v>804</v>
      </c>
      <c r="C48" s="123" t="s">
        <v>1033</v>
      </c>
      <c r="F48" s="123">
        <v>1161</v>
      </c>
      <c r="G48" s="123" t="s">
        <v>1034</v>
      </c>
    </row>
    <row r="49" spans="2:7" x14ac:dyDescent="0.2">
      <c r="B49" s="123">
        <v>805</v>
      </c>
      <c r="C49" s="123" t="s">
        <v>1035</v>
      </c>
      <c r="F49" s="123">
        <v>1188</v>
      </c>
      <c r="G49" s="123" t="s">
        <v>1036</v>
      </c>
    </row>
    <row r="50" spans="2:7" x14ac:dyDescent="0.2">
      <c r="B50" s="123">
        <v>806</v>
      </c>
      <c r="C50" s="123" t="s">
        <v>1037</v>
      </c>
      <c r="F50" s="123">
        <v>1193</v>
      </c>
      <c r="G50" s="123" t="s">
        <v>1038</v>
      </c>
    </row>
    <row r="51" spans="2:7" x14ac:dyDescent="0.2">
      <c r="B51" s="123">
        <v>807</v>
      </c>
      <c r="C51" s="123" t="s">
        <v>1039</v>
      </c>
      <c r="F51" s="123">
        <v>1211</v>
      </c>
      <c r="G51" s="123" t="s">
        <v>1040</v>
      </c>
    </row>
    <row r="52" spans="2:7" x14ac:dyDescent="0.2">
      <c r="B52" s="123">
        <v>808</v>
      </c>
      <c r="C52" s="123" t="s">
        <v>1041</v>
      </c>
      <c r="F52" s="123">
        <v>1218</v>
      </c>
      <c r="G52" s="123" t="s">
        <v>1042</v>
      </c>
    </row>
    <row r="53" spans="2:7" x14ac:dyDescent="0.2">
      <c r="B53" s="123">
        <v>809</v>
      </c>
      <c r="C53" s="123" t="s">
        <v>1043</v>
      </c>
      <c r="F53" s="123">
        <v>1226</v>
      </c>
      <c r="G53" s="123" t="s">
        <v>1044</v>
      </c>
    </row>
    <row r="54" spans="2:7" x14ac:dyDescent="0.2">
      <c r="B54" s="123">
        <v>901</v>
      </c>
      <c r="C54" s="123" t="s">
        <v>1045</v>
      </c>
      <c r="F54" s="123">
        <v>1234</v>
      </c>
      <c r="G54" s="123" t="s">
        <v>1046</v>
      </c>
    </row>
    <row r="55" spans="2:7" x14ac:dyDescent="0.2">
      <c r="B55" s="123">
        <v>902</v>
      </c>
      <c r="C55" s="123" t="s">
        <v>1047</v>
      </c>
      <c r="F55" s="123">
        <v>1261</v>
      </c>
      <c r="G55" s="123" t="s">
        <v>1048</v>
      </c>
    </row>
    <row r="56" spans="2:7" x14ac:dyDescent="0.2">
      <c r="B56" s="123">
        <v>903</v>
      </c>
      <c r="C56" s="123" t="s">
        <v>1049</v>
      </c>
      <c r="F56" s="123">
        <v>1280</v>
      </c>
      <c r="G56" s="123" t="s">
        <v>1050</v>
      </c>
    </row>
    <row r="57" spans="2:7" x14ac:dyDescent="0.2">
      <c r="B57" s="123">
        <v>904</v>
      </c>
      <c r="C57" s="123" t="s">
        <v>1051</v>
      </c>
      <c r="F57" s="123">
        <v>1300</v>
      </c>
      <c r="G57" s="123" t="s">
        <v>1052</v>
      </c>
    </row>
    <row r="58" spans="2:7" x14ac:dyDescent="0.2">
      <c r="B58" s="123">
        <v>905</v>
      </c>
      <c r="C58" s="123" t="s">
        <v>1053</v>
      </c>
      <c r="F58" s="123">
        <v>1301</v>
      </c>
      <c r="G58" s="123" t="s">
        <v>1054</v>
      </c>
    </row>
    <row r="59" spans="2:7" x14ac:dyDescent="0.2">
      <c r="B59" s="123">
        <v>906</v>
      </c>
      <c r="C59" s="123" t="s">
        <v>1055</v>
      </c>
      <c r="F59" s="123">
        <v>1310</v>
      </c>
      <c r="G59" s="123" t="s">
        <v>1056</v>
      </c>
    </row>
    <row r="60" spans="2:7" x14ac:dyDescent="0.2">
      <c r="B60" s="123">
        <v>1001</v>
      </c>
      <c r="C60" s="123" t="s">
        <v>1057</v>
      </c>
      <c r="F60" s="123">
        <v>1330</v>
      </c>
      <c r="G60" s="123" t="s">
        <v>1058</v>
      </c>
    </row>
    <row r="61" spans="2:7" x14ac:dyDescent="0.2">
      <c r="B61" s="123">
        <v>1002</v>
      </c>
      <c r="C61" s="123" t="s">
        <v>1059</v>
      </c>
      <c r="F61" s="123">
        <v>1343</v>
      </c>
      <c r="G61" s="123" t="s">
        <v>1060</v>
      </c>
    </row>
    <row r="62" spans="2:7" x14ac:dyDescent="0.2">
      <c r="B62" s="123">
        <v>1003</v>
      </c>
      <c r="C62" s="123" t="s">
        <v>1061</v>
      </c>
      <c r="F62" s="123">
        <v>1348</v>
      </c>
      <c r="G62" s="123" t="s">
        <v>1062</v>
      </c>
    </row>
    <row r="63" spans="2:7" x14ac:dyDescent="0.2">
      <c r="B63" s="123">
        <v>1101</v>
      </c>
      <c r="C63" s="123" t="s">
        <v>1063</v>
      </c>
      <c r="F63" s="123">
        <v>1352</v>
      </c>
      <c r="G63" s="123" t="s">
        <v>1064</v>
      </c>
    </row>
    <row r="64" spans="2:7" x14ac:dyDescent="0.2">
      <c r="B64" s="123">
        <v>1102</v>
      </c>
      <c r="C64" s="123" t="s">
        <v>1065</v>
      </c>
      <c r="F64" s="123">
        <v>1362</v>
      </c>
      <c r="G64" s="123" t="s">
        <v>1066</v>
      </c>
    </row>
    <row r="65" spans="2:7" x14ac:dyDescent="0.2">
      <c r="B65" s="123">
        <v>1103</v>
      </c>
      <c r="C65" s="123" t="s">
        <v>1067</v>
      </c>
      <c r="F65" s="123">
        <v>1373</v>
      </c>
      <c r="G65" s="123" t="s">
        <v>1068</v>
      </c>
    </row>
    <row r="66" spans="2:7" x14ac:dyDescent="0.2">
      <c r="B66" s="123">
        <v>1104</v>
      </c>
      <c r="C66" s="123" t="s">
        <v>1069</v>
      </c>
      <c r="F66" s="123">
        <v>1391</v>
      </c>
      <c r="G66" s="123" t="s">
        <v>1070</v>
      </c>
    </row>
    <row r="67" spans="2:7" x14ac:dyDescent="0.2">
      <c r="B67" s="123">
        <v>1105</v>
      </c>
      <c r="C67" s="123" t="s">
        <v>1071</v>
      </c>
      <c r="F67" s="123">
        <v>1392</v>
      </c>
      <c r="G67" s="123" t="s">
        <v>1072</v>
      </c>
    </row>
    <row r="68" spans="2:7" x14ac:dyDescent="0.2">
      <c r="B68" s="123">
        <v>1201</v>
      </c>
      <c r="C68" s="123" t="s">
        <v>1073</v>
      </c>
      <c r="F68" s="123">
        <v>1417</v>
      </c>
      <c r="G68" s="123" t="s">
        <v>1074</v>
      </c>
    </row>
    <row r="69" spans="2:7" x14ac:dyDescent="0.2">
      <c r="B69" s="123">
        <v>1202</v>
      </c>
      <c r="C69" s="123" t="s">
        <v>1075</v>
      </c>
      <c r="F69" s="123">
        <v>1439</v>
      </c>
      <c r="G69" s="123" t="s">
        <v>1076</v>
      </c>
    </row>
    <row r="70" spans="2:7" x14ac:dyDescent="0.2">
      <c r="B70" s="123">
        <v>1203</v>
      </c>
      <c r="C70" s="123" t="s">
        <v>1077</v>
      </c>
      <c r="F70" s="123">
        <v>1440</v>
      </c>
      <c r="G70" s="123" t="s">
        <v>1078</v>
      </c>
    </row>
    <row r="71" spans="2:7" x14ac:dyDescent="0.2">
      <c r="B71" s="123">
        <v>1204</v>
      </c>
      <c r="C71" s="123" t="s">
        <v>1079</v>
      </c>
      <c r="F71" s="123">
        <v>1531</v>
      </c>
      <c r="G71" s="123" t="s">
        <v>1080</v>
      </c>
    </row>
    <row r="72" spans="2:7" x14ac:dyDescent="0.2">
      <c r="B72" s="123">
        <v>1205</v>
      </c>
      <c r="C72" s="123" t="s">
        <v>1081</v>
      </c>
      <c r="F72" s="123">
        <v>1643</v>
      </c>
      <c r="G72" s="123" t="s">
        <v>1082</v>
      </c>
    </row>
    <row r="73" spans="2:7" x14ac:dyDescent="0.2">
      <c r="B73" s="123">
        <v>1301</v>
      </c>
      <c r="C73" s="123" t="s">
        <v>1083</v>
      </c>
      <c r="F73" s="123">
        <v>1657</v>
      </c>
      <c r="G73" s="123" t="s">
        <v>1084</v>
      </c>
    </row>
    <row r="74" spans="2:7" x14ac:dyDescent="0.2">
      <c r="B74" s="123">
        <v>1302</v>
      </c>
      <c r="C74" s="123" t="s">
        <v>1085</v>
      </c>
      <c r="F74" s="123">
        <v>1699</v>
      </c>
      <c r="G74" s="123" t="s">
        <v>1086</v>
      </c>
    </row>
    <row r="75" spans="2:7" x14ac:dyDescent="0.2">
      <c r="B75" s="123">
        <v>1303</v>
      </c>
      <c r="C75" s="123" t="s">
        <v>1087</v>
      </c>
      <c r="F75" s="123">
        <v>1704</v>
      </c>
      <c r="G75" s="123" t="s">
        <v>1088</v>
      </c>
    </row>
    <row r="76" spans="2:7" x14ac:dyDescent="0.2">
      <c r="B76" s="123">
        <v>1304</v>
      </c>
      <c r="C76" s="123" t="s">
        <v>1089</v>
      </c>
      <c r="F76" s="123">
        <v>1761</v>
      </c>
      <c r="G76" s="123" t="s">
        <v>1090</v>
      </c>
    </row>
    <row r="77" spans="2:7" x14ac:dyDescent="0.2">
      <c r="B77" s="123">
        <v>1305</v>
      </c>
      <c r="C77" s="123" t="s">
        <v>1091</v>
      </c>
      <c r="F77" s="123">
        <v>1791</v>
      </c>
      <c r="G77" s="123" t="s">
        <v>1092</v>
      </c>
    </row>
    <row r="78" spans="2:7" x14ac:dyDescent="0.2">
      <c r="B78" s="123">
        <v>1306</v>
      </c>
      <c r="C78" s="123" t="s">
        <v>1093</v>
      </c>
      <c r="F78" s="123">
        <v>1812</v>
      </c>
      <c r="G78" s="123" t="s">
        <v>1094</v>
      </c>
    </row>
    <row r="79" spans="2:7" x14ac:dyDescent="0.2">
      <c r="B79" s="123">
        <v>1401</v>
      </c>
      <c r="C79" s="123" t="s">
        <v>1095</v>
      </c>
      <c r="F79" s="123">
        <v>1859</v>
      </c>
      <c r="G79" s="123" t="s">
        <v>1096</v>
      </c>
    </row>
    <row r="80" spans="2:7" x14ac:dyDescent="0.2">
      <c r="B80" s="123">
        <v>1501</v>
      </c>
      <c r="C80" s="123" t="s">
        <v>1097</v>
      </c>
      <c r="F80" s="123">
        <v>1874</v>
      </c>
      <c r="G80" s="123" t="s">
        <v>1098</v>
      </c>
    </row>
    <row r="81" spans="2:7" x14ac:dyDescent="0.2">
      <c r="B81" s="123">
        <v>1502</v>
      </c>
      <c r="C81" s="123" t="s">
        <v>1099</v>
      </c>
      <c r="F81" s="123">
        <v>1879</v>
      </c>
      <c r="G81" s="123" t="s">
        <v>1100</v>
      </c>
    </row>
    <row r="82" spans="2:7" x14ac:dyDescent="0.2">
      <c r="B82" s="123">
        <v>1503</v>
      </c>
      <c r="C82" s="123" t="s">
        <v>1101</v>
      </c>
      <c r="F82" s="123">
        <v>1905</v>
      </c>
      <c r="G82" s="123" t="s">
        <v>1102</v>
      </c>
    </row>
    <row r="83" spans="2:7" x14ac:dyDescent="0.2">
      <c r="B83" s="123">
        <v>1504</v>
      </c>
      <c r="C83" s="123" t="s">
        <v>1103</v>
      </c>
      <c r="F83" s="123">
        <v>1914</v>
      </c>
      <c r="G83" s="123" t="s">
        <v>1104</v>
      </c>
    </row>
    <row r="84" spans="2:7" x14ac:dyDescent="0.2">
      <c r="B84" s="123">
        <v>1505</v>
      </c>
      <c r="C84" s="123" t="s">
        <v>1105</v>
      </c>
      <c r="F84" s="123">
        <v>1927</v>
      </c>
      <c r="G84" s="123" t="s">
        <v>1106</v>
      </c>
    </row>
    <row r="85" spans="2:7" x14ac:dyDescent="0.2">
      <c r="B85" s="123">
        <v>1601</v>
      </c>
      <c r="C85" s="123" t="s">
        <v>1107</v>
      </c>
      <c r="F85" s="123">
        <v>1953</v>
      </c>
      <c r="G85" s="123" t="s">
        <v>1108</v>
      </c>
    </row>
    <row r="86" spans="2:7" x14ac:dyDescent="0.2">
      <c r="B86" s="123">
        <v>1701</v>
      </c>
      <c r="C86" s="123" t="s">
        <v>1109</v>
      </c>
      <c r="F86" s="123">
        <v>1961</v>
      </c>
      <c r="G86" s="123" t="s">
        <v>1110</v>
      </c>
    </row>
    <row r="87" spans="2:7" x14ac:dyDescent="0.2">
      <c r="B87" s="123">
        <v>1806</v>
      </c>
      <c r="C87" s="123" t="s">
        <v>1111</v>
      </c>
      <c r="F87" s="123">
        <v>1976</v>
      </c>
      <c r="G87" s="123" t="s">
        <v>1112</v>
      </c>
    </row>
    <row r="88" spans="2:7" x14ac:dyDescent="0.2">
      <c r="B88" s="123">
        <v>1901</v>
      </c>
      <c r="C88" s="123" t="s">
        <v>1113</v>
      </c>
      <c r="F88" s="123">
        <v>1988</v>
      </c>
      <c r="G88" s="123" t="s">
        <v>1114</v>
      </c>
    </row>
    <row r="89" spans="2:7" x14ac:dyDescent="0.2">
      <c r="B89" s="123">
        <v>1902</v>
      </c>
      <c r="C89" s="123" t="s">
        <v>1115</v>
      </c>
      <c r="F89" s="123">
        <v>2136</v>
      </c>
      <c r="G89" s="123" t="s">
        <v>1116</v>
      </c>
    </row>
    <row r="90" spans="2:7" x14ac:dyDescent="0.2">
      <c r="B90" s="123">
        <v>1903</v>
      </c>
      <c r="C90" s="123" t="s">
        <v>1117</v>
      </c>
      <c r="F90" s="123">
        <v>2149</v>
      </c>
      <c r="G90" s="123" t="s">
        <v>1118</v>
      </c>
    </row>
    <row r="91" spans="2:7" x14ac:dyDescent="0.2">
      <c r="B91" s="123">
        <v>1904</v>
      </c>
      <c r="C91" s="123" t="s">
        <v>1119</v>
      </c>
      <c r="F91" s="123">
        <v>2189</v>
      </c>
      <c r="G91" s="123" t="s">
        <v>1120</v>
      </c>
    </row>
    <row r="92" spans="2:7" x14ac:dyDescent="0.2">
      <c r="B92" s="123">
        <v>1905</v>
      </c>
      <c r="C92" s="123" t="s">
        <v>1121</v>
      </c>
      <c r="F92" s="123">
        <v>2323</v>
      </c>
      <c r="G92" s="123" t="s">
        <v>1122</v>
      </c>
    </row>
    <row r="93" spans="2:7" x14ac:dyDescent="0.2">
      <c r="B93" s="123">
        <v>1906</v>
      </c>
      <c r="C93" s="123" t="s">
        <v>1123</v>
      </c>
      <c r="F93" s="123">
        <v>2325</v>
      </c>
      <c r="G93" s="123" t="s">
        <v>1124</v>
      </c>
    </row>
    <row r="94" spans="2:7" x14ac:dyDescent="0.2">
      <c r="B94" s="123">
        <v>1907</v>
      </c>
      <c r="C94" s="123" t="s">
        <v>1125</v>
      </c>
      <c r="F94" s="123">
        <v>2326</v>
      </c>
      <c r="G94" s="123" t="s">
        <v>1126</v>
      </c>
    </row>
    <row r="95" spans="2:7" x14ac:dyDescent="0.2">
      <c r="B95" s="123">
        <v>1908</v>
      </c>
      <c r="C95" s="123" t="s">
        <v>1127</v>
      </c>
      <c r="F95" s="123">
        <v>2332</v>
      </c>
      <c r="G95" s="123" t="s">
        <v>1128</v>
      </c>
    </row>
    <row r="96" spans="2:7" x14ac:dyDescent="0.2">
      <c r="B96" s="123">
        <v>1909</v>
      </c>
      <c r="C96" s="123" t="s">
        <v>1129</v>
      </c>
      <c r="F96" s="123">
        <v>2468</v>
      </c>
      <c r="G96" s="123" t="s">
        <v>1130</v>
      </c>
    </row>
    <row r="97" spans="2:7" x14ac:dyDescent="0.2">
      <c r="B97" s="123">
        <v>2001</v>
      </c>
      <c r="C97" s="123" t="s">
        <v>1131</v>
      </c>
      <c r="F97" s="123">
        <v>2572</v>
      </c>
      <c r="G97" s="123" t="s">
        <v>1132</v>
      </c>
    </row>
    <row r="98" spans="2:7" x14ac:dyDescent="0.2">
      <c r="F98" s="123">
        <v>2872</v>
      </c>
      <c r="G98" s="123" t="s">
        <v>1133</v>
      </c>
    </row>
    <row r="99" spans="2:7" x14ac:dyDescent="0.2">
      <c r="F99" s="123">
        <v>2886</v>
      </c>
      <c r="G99" s="123" t="s">
        <v>1134</v>
      </c>
    </row>
    <row r="100" spans="2:7" x14ac:dyDescent="0.2">
      <c r="F100" s="123">
        <v>2937</v>
      </c>
      <c r="G100" s="123" t="s">
        <v>1135</v>
      </c>
    </row>
    <row r="101" spans="2:7" x14ac:dyDescent="0.2">
      <c r="F101" s="123">
        <v>2946</v>
      </c>
      <c r="G101" s="123" t="s">
        <v>1136</v>
      </c>
    </row>
    <row r="102" spans="2:7" x14ac:dyDescent="0.2">
      <c r="F102" s="123">
        <v>2958</v>
      </c>
      <c r="G102" s="123" t="s">
        <v>1137</v>
      </c>
    </row>
    <row r="103" spans="2:7" x14ac:dyDescent="0.2">
      <c r="F103" s="123">
        <v>2967</v>
      </c>
      <c r="G103" s="123" t="s">
        <v>1138</v>
      </c>
    </row>
    <row r="104" spans="2:7" x14ac:dyDescent="0.2">
      <c r="F104" s="123">
        <v>2982</v>
      </c>
      <c r="G104" s="123" t="s">
        <v>1139</v>
      </c>
    </row>
    <row r="105" spans="2:7" x14ac:dyDescent="0.2">
      <c r="F105" s="123">
        <v>3005</v>
      </c>
      <c r="G105" s="123" t="s">
        <v>1140</v>
      </c>
    </row>
    <row r="106" spans="2:7" x14ac:dyDescent="0.2">
      <c r="F106" s="123">
        <v>3045</v>
      </c>
      <c r="G106" s="123" t="s">
        <v>1141</v>
      </c>
    </row>
    <row r="107" spans="2:7" x14ac:dyDescent="0.2">
      <c r="F107" s="123">
        <v>3061</v>
      </c>
      <c r="G107" s="123" t="s">
        <v>1142</v>
      </c>
    </row>
    <row r="108" spans="2:7" x14ac:dyDescent="0.2">
      <c r="F108" s="123">
        <v>3125</v>
      </c>
      <c r="G108" s="123" t="s">
        <v>1143</v>
      </c>
    </row>
    <row r="109" spans="2:7" x14ac:dyDescent="0.2">
      <c r="F109" s="123">
        <v>3299</v>
      </c>
      <c r="G109" s="123" t="s">
        <v>1144</v>
      </c>
    </row>
    <row r="110" spans="2:7" x14ac:dyDescent="0.2">
      <c r="F110" s="123">
        <v>3548</v>
      </c>
      <c r="G110" s="123" t="s">
        <v>1145</v>
      </c>
    </row>
    <row r="111" spans="2:7" x14ac:dyDescent="0.2">
      <c r="F111" s="123">
        <v>3577</v>
      </c>
      <c r="G111" s="123" t="s">
        <v>1146</v>
      </c>
    </row>
    <row r="112" spans="2:7" x14ac:dyDescent="0.2">
      <c r="F112" s="123">
        <v>3659</v>
      </c>
      <c r="G112" s="123" t="s">
        <v>1147</v>
      </c>
    </row>
    <row r="113" spans="6:7" x14ac:dyDescent="0.2">
      <c r="F113" s="123">
        <v>3714</v>
      </c>
      <c r="G113" s="123" t="s">
        <v>1148</v>
      </c>
    </row>
    <row r="114" spans="6:7" x14ac:dyDescent="0.2">
      <c r="F114" s="123">
        <v>3720</v>
      </c>
      <c r="G114" s="123" t="s">
        <v>1149</v>
      </c>
    </row>
    <row r="115" spans="6:7" x14ac:dyDescent="0.2">
      <c r="F115" s="123">
        <v>3733</v>
      </c>
      <c r="G115" s="123" t="s">
        <v>1150</v>
      </c>
    </row>
    <row r="116" spans="6:7" x14ac:dyDescent="0.2">
      <c r="F116" s="123">
        <v>3913</v>
      </c>
      <c r="G116" s="123" t="s">
        <v>1151</v>
      </c>
    </row>
    <row r="117" spans="6:7" x14ac:dyDescent="0.2">
      <c r="F117" s="123">
        <v>4080</v>
      </c>
      <c r="G117" s="123" t="s">
        <v>1152</v>
      </c>
    </row>
    <row r="118" spans="6:7" x14ac:dyDescent="0.2">
      <c r="F118" s="123">
        <v>4082</v>
      </c>
      <c r="G118" s="123" t="s">
        <v>1153</v>
      </c>
    </row>
    <row r="119" spans="6:7" x14ac:dyDescent="0.2">
      <c r="F119" s="123">
        <v>4917</v>
      </c>
      <c r="G119" s="123" t="s">
        <v>1154</v>
      </c>
    </row>
    <row r="120" spans="6:7" x14ac:dyDescent="0.2">
      <c r="F120" s="123">
        <v>5093</v>
      </c>
      <c r="G120" s="123" t="s">
        <v>1155</v>
      </c>
    </row>
    <row r="121" spans="6:7" x14ac:dyDescent="0.2">
      <c r="F121" s="123">
        <v>5096</v>
      </c>
      <c r="G121" s="123" t="s">
        <v>1156</v>
      </c>
    </row>
    <row r="122" spans="6:7" x14ac:dyDescent="0.2">
      <c r="F122" s="123">
        <v>5098</v>
      </c>
      <c r="G122" s="123" t="s">
        <v>1157</v>
      </c>
    </row>
    <row r="123" spans="6:7" x14ac:dyDescent="0.2">
      <c r="F123" s="123">
        <v>5156</v>
      </c>
      <c r="G123" s="123" t="s">
        <v>1158</v>
      </c>
    </row>
    <row r="124" spans="6:7" x14ac:dyDescent="0.2">
      <c r="F124" s="123">
        <v>5452</v>
      </c>
      <c r="G124" s="123" t="s">
        <v>1159</v>
      </c>
    </row>
    <row r="125" spans="6:7" x14ac:dyDescent="0.2">
      <c r="F125" s="123">
        <v>5461</v>
      </c>
      <c r="G125" s="123" t="s">
        <v>1160</v>
      </c>
    </row>
    <row r="126" spans="6:7" x14ac:dyDescent="0.2">
      <c r="F126" s="123">
        <v>5462</v>
      </c>
      <c r="G126" s="123" t="s">
        <v>1161</v>
      </c>
    </row>
    <row r="127" spans="6:7" x14ac:dyDescent="0.2">
      <c r="F127" s="123">
        <v>5516</v>
      </c>
      <c r="G127" s="123" t="s">
        <v>1162</v>
      </c>
    </row>
    <row r="128" spans="6:7" x14ac:dyDescent="0.2">
      <c r="F128" s="123">
        <v>5657</v>
      </c>
      <c r="G128" s="123" t="s">
        <v>1163</v>
      </c>
    </row>
    <row r="129" spans="6:7" x14ac:dyDescent="0.2">
      <c r="F129" s="123">
        <v>5720</v>
      </c>
      <c r="G129" s="123" t="s">
        <v>1164</v>
      </c>
    </row>
    <row r="130" spans="6:7" x14ac:dyDescent="0.2">
      <c r="F130" s="123">
        <v>6188</v>
      </c>
      <c r="G130" s="123" t="s">
        <v>1165</v>
      </c>
    </row>
    <row r="131" spans="6:7" x14ac:dyDescent="0.2">
      <c r="F131" s="123">
        <v>6618</v>
      </c>
      <c r="G131" s="123" t="s">
        <v>1166</v>
      </c>
    </row>
    <row r="132" spans="6:7" x14ac:dyDescent="0.2">
      <c r="F132" s="123">
        <v>7331</v>
      </c>
      <c r="G132" s="123" t="s">
        <v>1167</v>
      </c>
    </row>
    <row r="133" spans="6:7" x14ac:dyDescent="0.2">
      <c r="F133" s="123">
        <v>7345</v>
      </c>
      <c r="G133" s="123" t="s">
        <v>1168</v>
      </c>
    </row>
    <row r="134" spans="6:7" x14ac:dyDescent="0.2">
      <c r="F134" s="123">
        <v>7373</v>
      </c>
      <c r="G134" s="123" t="s">
        <v>1169</v>
      </c>
    </row>
    <row r="135" spans="6:7" x14ac:dyDescent="0.2">
      <c r="F135" s="123">
        <v>7379</v>
      </c>
      <c r="G135" s="123" t="s">
        <v>1170</v>
      </c>
    </row>
    <row r="136" spans="6:7" x14ac:dyDescent="0.2">
      <c r="F136" s="123">
        <v>7381</v>
      </c>
      <c r="G136" s="123" t="s">
        <v>1171</v>
      </c>
    </row>
    <row r="137" spans="6:7" x14ac:dyDescent="0.2">
      <c r="F137" s="123">
        <v>7391</v>
      </c>
      <c r="G137" s="123" t="s">
        <v>1172</v>
      </c>
    </row>
    <row r="138" spans="6:7" x14ac:dyDescent="0.2">
      <c r="F138" s="123">
        <v>7396</v>
      </c>
      <c r="G138" s="123" t="s">
        <v>1173</v>
      </c>
    </row>
    <row r="139" spans="6:7" x14ac:dyDescent="0.2">
      <c r="F139" s="123">
        <v>7462</v>
      </c>
      <c r="G139" s="123" t="s">
        <v>1174</v>
      </c>
    </row>
    <row r="140" spans="6:7" x14ac:dyDescent="0.2">
      <c r="F140" s="123">
        <v>7473</v>
      </c>
      <c r="G140" s="123" t="s">
        <v>1175</v>
      </c>
    </row>
    <row r="141" spans="6:7" x14ac:dyDescent="0.2">
      <c r="F141" s="123">
        <v>7521</v>
      </c>
      <c r="G141" s="123" t="s">
        <v>1176</v>
      </c>
    </row>
    <row r="142" spans="6:7" x14ac:dyDescent="0.2">
      <c r="F142" s="123">
        <v>7534</v>
      </c>
      <c r="G142" s="123" t="s">
        <v>1177</v>
      </c>
    </row>
    <row r="143" spans="6:7" x14ac:dyDescent="0.2">
      <c r="F143" s="123">
        <v>7608</v>
      </c>
      <c r="G143" s="123" t="s">
        <v>1178</v>
      </c>
    </row>
    <row r="144" spans="6:7" x14ac:dyDescent="0.2">
      <c r="F144" s="123">
        <v>7700</v>
      </c>
      <c r="G144" s="123" t="s">
        <v>1179</v>
      </c>
    </row>
    <row r="145" spans="6:7" x14ac:dyDescent="0.2">
      <c r="F145" s="123">
        <v>7702</v>
      </c>
      <c r="G145" s="123" t="s">
        <v>1180</v>
      </c>
    </row>
    <row r="146" spans="6:7" x14ac:dyDescent="0.2">
      <c r="F146" s="123">
        <v>7725</v>
      </c>
      <c r="G146" s="123" t="s">
        <v>1181</v>
      </c>
    </row>
    <row r="147" spans="6:7" x14ac:dyDescent="0.2">
      <c r="F147" s="123">
        <v>7778</v>
      </c>
      <c r="G147" s="123" t="s">
        <v>1182</v>
      </c>
    </row>
    <row r="148" spans="6:7" x14ac:dyDescent="0.2">
      <c r="F148" s="123">
        <v>7806</v>
      </c>
      <c r="G148" s="123" t="s">
        <v>1183</v>
      </c>
    </row>
    <row r="149" spans="6:7" x14ac:dyDescent="0.2">
      <c r="F149" s="123">
        <v>7942</v>
      </c>
      <c r="G149" s="123" t="s">
        <v>1184</v>
      </c>
    </row>
    <row r="150" spans="6:7" x14ac:dyDescent="0.2">
      <c r="F150" s="123">
        <v>8051</v>
      </c>
      <c r="G150" s="123" t="s">
        <v>1185</v>
      </c>
    </row>
    <row r="151" spans="6:7" x14ac:dyDescent="0.2">
      <c r="F151" s="123">
        <v>8054</v>
      </c>
      <c r="G151" s="123" t="s">
        <v>1186</v>
      </c>
    </row>
    <row r="152" spans="6:7" x14ac:dyDescent="0.2">
      <c r="F152" s="123">
        <v>8092</v>
      </c>
      <c r="G152" s="123" t="s">
        <v>1187</v>
      </c>
    </row>
    <row r="153" spans="6:7" x14ac:dyDescent="0.2">
      <c r="F153" s="123">
        <v>8186</v>
      </c>
      <c r="G153" s="123" t="s">
        <v>1188</v>
      </c>
    </row>
    <row r="154" spans="6:7" x14ac:dyDescent="0.2">
      <c r="F154" s="123">
        <v>8241</v>
      </c>
      <c r="G154" s="123" t="s">
        <v>1189</v>
      </c>
    </row>
    <row r="155" spans="6:7" x14ac:dyDescent="0.2">
      <c r="F155" s="123">
        <v>8246</v>
      </c>
      <c r="G155" s="123" t="s">
        <v>1190</v>
      </c>
    </row>
    <row r="156" spans="6:7" x14ac:dyDescent="0.2">
      <c r="F156" s="123">
        <v>8294</v>
      </c>
      <c r="G156" s="123" t="s">
        <v>1191</v>
      </c>
    </row>
    <row r="157" spans="6:7" x14ac:dyDescent="0.2">
      <c r="F157" s="123">
        <v>8302</v>
      </c>
      <c r="G157" s="123" t="s">
        <v>1192</v>
      </c>
    </row>
    <row r="158" spans="6:7" x14ac:dyDescent="0.2">
      <c r="F158" s="123">
        <v>9039</v>
      </c>
      <c r="G158" s="123" t="s">
        <v>1193</v>
      </c>
    </row>
    <row r="159" spans="6:7" x14ac:dyDescent="0.2">
      <c r="F159" s="123">
        <v>9229</v>
      </c>
      <c r="G159" s="123" t="s">
        <v>1194</v>
      </c>
    </row>
    <row r="160" spans="6:7" x14ac:dyDescent="0.2">
      <c r="F160" s="123">
        <v>9253</v>
      </c>
      <c r="G160" s="123" t="s">
        <v>1195</v>
      </c>
    </row>
    <row r="161" spans="6:7" x14ac:dyDescent="0.2">
      <c r="F161" s="123">
        <v>9281</v>
      </c>
      <c r="G161" s="123" t="s">
        <v>1196</v>
      </c>
    </row>
    <row r="162" spans="6:7" x14ac:dyDescent="0.2">
      <c r="F162" s="123">
        <v>9369</v>
      </c>
      <c r="G162" s="123" t="s">
        <v>1197</v>
      </c>
    </row>
    <row r="163" spans="6:7" x14ac:dyDescent="0.2">
      <c r="F163" s="123">
        <v>9768</v>
      </c>
      <c r="G163" s="123" t="s">
        <v>1198</v>
      </c>
    </row>
    <row r="164" spans="6:7" x14ac:dyDescent="0.2">
      <c r="F164" s="123">
        <v>9844</v>
      </c>
      <c r="G164" s="123" t="s">
        <v>1199</v>
      </c>
    </row>
    <row r="165" spans="6:7" x14ac:dyDescent="0.2">
      <c r="F165" s="123">
        <v>9907</v>
      </c>
      <c r="G165" s="123" t="s">
        <v>1200</v>
      </c>
    </row>
    <row r="166" spans="6:7" x14ac:dyDescent="0.2">
      <c r="F166" s="123">
        <v>9909</v>
      </c>
      <c r="G166" s="123" t="s">
        <v>1201</v>
      </c>
    </row>
    <row r="167" spans="6:7" x14ac:dyDescent="0.2">
      <c r="F167" s="123">
        <v>9918</v>
      </c>
      <c r="G167" s="123" t="s">
        <v>1202</v>
      </c>
    </row>
    <row r="168" spans="6:7" x14ac:dyDescent="0.2">
      <c r="F168" s="123">
        <v>10042</v>
      </c>
      <c r="G168" s="123" t="s">
        <v>1203</v>
      </c>
    </row>
    <row r="169" spans="6:7" x14ac:dyDescent="0.2">
      <c r="F169" s="123">
        <v>10202</v>
      </c>
      <c r="G169" s="123" t="s">
        <v>1204</v>
      </c>
    </row>
    <row r="170" spans="6:7" x14ac:dyDescent="0.2">
      <c r="F170" s="123">
        <v>10468</v>
      </c>
      <c r="G170" s="123" t="s">
        <v>1205</v>
      </c>
    </row>
    <row r="171" spans="6:7" x14ac:dyDescent="0.2">
      <c r="F171" s="123">
        <v>10612</v>
      </c>
      <c r="G171" s="123" t="s">
        <v>1206</v>
      </c>
    </row>
    <row r="172" spans="6:7" x14ac:dyDescent="0.2">
      <c r="F172" s="123">
        <v>10626</v>
      </c>
      <c r="G172" s="123" t="s">
        <v>1207</v>
      </c>
    </row>
    <row r="173" spans="6:7" x14ac:dyDescent="0.2">
      <c r="F173" s="123">
        <v>10783</v>
      </c>
      <c r="G173" s="123" t="s">
        <v>1208</v>
      </c>
    </row>
    <row r="174" spans="6:7" x14ac:dyDescent="0.2">
      <c r="F174" s="123">
        <v>11605</v>
      </c>
      <c r="G174" s="123" t="s">
        <v>1209</v>
      </c>
    </row>
    <row r="175" spans="6:7" x14ac:dyDescent="0.2">
      <c r="F175" s="123">
        <v>12341</v>
      </c>
      <c r="G175" s="123" t="s">
        <v>1210</v>
      </c>
    </row>
    <row r="176" spans="6:7" x14ac:dyDescent="0.2">
      <c r="F176" s="123">
        <v>12351</v>
      </c>
      <c r="G176" s="123" t="s">
        <v>1211</v>
      </c>
    </row>
    <row r="177" spans="6:7" x14ac:dyDescent="0.2">
      <c r="F177" s="123">
        <v>12577</v>
      </c>
      <c r="G177" s="123" t="s">
        <v>1212</v>
      </c>
    </row>
    <row r="178" spans="6:7" x14ac:dyDescent="0.2">
      <c r="F178" s="123">
        <v>12616</v>
      </c>
      <c r="G178" s="123" t="s">
        <v>1213</v>
      </c>
    </row>
    <row r="179" spans="6:7" x14ac:dyDescent="0.2">
      <c r="F179" s="123">
        <v>12617</v>
      </c>
      <c r="G179" s="123" t="s">
        <v>1214</v>
      </c>
    </row>
    <row r="180" spans="6:7" x14ac:dyDescent="0.2">
      <c r="F180" s="123">
        <v>12619</v>
      </c>
      <c r="G180" s="123" t="s">
        <v>1215</v>
      </c>
    </row>
    <row r="181" spans="6:7" x14ac:dyDescent="0.2">
      <c r="F181" s="123">
        <v>12622</v>
      </c>
      <c r="G181" s="123" t="s">
        <v>1216</v>
      </c>
    </row>
    <row r="182" spans="6:7" x14ac:dyDescent="0.2">
      <c r="F182" s="123">
        <v>12683</v>
      </c>
      <c r="G182" s="123" t="s">
        <v>1217</v>
      </c>
    </row>
    <row r="183" spans="6:7" x14ac:dyDescent="0.2">
      <c r="F183" s="123">
        <v>12701</v>
      </c>
      <c r="G183" s="123" t="s">
        <v>1218</v>
      </c>
    </row>
    <row r="184" spans="6:7" x14ac:dyDescent="0.2">
      <c r="F184" s="123">
        <v>12732</v>
      </c>
      <c r="G184" s="123" t="s">
        <v>1219</v>
      </c>
    </row>
    <row r="185" spans="6:7" x14ac:dyDescent="0.2">
      <c r="F185" s="123">
        <v>12785</v>
      </c>
      <c r="G185" s="123" t="s">
        <v>1220</v>
      </c>
    </row>
    <row r="186" spans="6:7" x14ac:dyDescent="0.2">
      <c r="F186" s="123">
        <v>12786</v>
      </c>
      <c r="G186" s="123" t="s">
        <v>1221</v>
      </c>
    </row>
    <row r="187" spans="6:7" x14ac:dyDescent="0.2">
      <c r="F187" s="123">
        <v>12790</v>
      </c>
      <c r="G187" s="123" t="s">
        <v>1222</v>
      </c>
    </row>
    <row r="188" spans="6:7" x14ac:dyDescent="0.2">
      <c r="F188" s="123">
        <v>12816</v>
      </c>
      <c r="G188" s="123" t="s">
        <v>1223</v>
      </c>
    </row>
    <row r="189" spans="6:7" x14ac:dyDescent="0.2">
      <c r="F189" s="123">
        <v>12836</v>
      </c>
      <c r="G189" s="123" t="s">
        <v>1224</v>
      </c>
    </row>
    <row r="190" spans="6:7" x14ac:dyDescent="0.2">
      <c r="F190" s="123">
        <v>12850</v>
      </c>
      <c r="G190" s="123" t="s">
        <v>1225</v>
      </c>
    </row>
    <row r="191" spans="6:7" x14ac:dyDescent="0.2">
      <c r="F191" s="123">
        <v>12856</v>
      </c>
      <c r="G191" s="123" t="s">
        <v>1226</v>
      </c>
    </row>
    <row r="192" spans="6:7" x14ac:dyDescent="0.2">
      <c r="F192" s="123">
        <v>12859</v>
      </c>
      <c r="G192" s="123" t="s">
        <v>1227</v>
      </c>
    </row>
    <row r="193" spans="6:7" x14ac:dyDescent="0.2">
      <c r="F193" s="123">
        <v>12905</v>
      </c>
      <c r="G193" s="123" t="s">
        <v>1228</v>
      </c>
    </row>
    <row r="194" spans="6:7" x14ac:dyDescent="0.2">
      <c r="F194" s="123">
        <v>12911</v>
      </c>
      <c r="G194" s="123" t="s">
        <v>1229</v>
      </c>
    </row>
    <row r="195" spans="6:7" x14ac:dyDescent="0.2">
      <c r="F195" s="123">
        <v>12929</v>
      </c>
      <c r="G195" s="123" t="s">
        <v>1230</v>
      </c>
    </row>
    <row r="196" spans="6:7" x14ac:dyDescent="0.2">
      <c r="F196" s="123">
        <v>12936</v>
      </c>
      <c r="G196" s="123" t="s">
        <v>1231</v>
      </c>
    </row>
    <row r="197" spans="6:7" x14ac:dyDescent="0.2">
      <c r="F197" s="123">
        <v>12938</v>
      </c>
      <c r="G197" s="123" t="s">
        <v>1232</v>
      </c>
    </row>
    <row r="198" spans="6:7" x14ac:dyDescent="0.2">
      <c r="F198" s="123">
        <v>13014</v>
      </c>
      <c r="G198" s="123" t="s">
        <v>1233</v>
      </c>
    </row>
    <row r="199" spans="6:7" x14ac:dyDescent="0.2">
      <c r="F199" s="123">
        <v>13020</v>
      </c>
      <c r="G199" s="123" t="s">
        <v>1234</v>
      </c>
    </row>
    <row r="200" spans="6:7" x14ac:dyDescent="0.2">
      <c r="F200" s="123">
        <v>13033</v>
      </c>
      <c r="G200" s="123" t="s">
        <v>1235</v>
      </c>
    </row>
    <row r="201" spans="6:7" x14ac:dyDescent="0.2">
      <c r="F201" s="123">
        <v>13117</v>
      </c>
      <c r="G201" s="123" t="s">
        <v>1236</v>
      </c>
    </row>
    <row r="202" spans="6:7" x14ac:dyDescent="0.2">
      <c r="F202" s="123">
        <v>13146</v>
      </c>
      <c r="G202" s="123" t="s">
        <v>1237</v>
      </c>
    </row>
    <row r="203" spans="6:7" x14ac:dyDescent="0.2">
      <c r="F203" s="123">
        <v>13149</v>
      </c>
      <c r="G203" s="123" t="s">
        <v>1238</v>
      </c>
    </row>
    <row r="204" spans="6:7" x14ac:dyDescent="0.2">
      <c r="F204" s="123">
        <v>13185</v>
      </c>
      <c r="G204" s="123" t="s">
        <v>1239</v>
      </c>
    </row>
    <row r="205" spans="6:7" x14ac:dyDescent="0.2">
      <c r="F205" s="123">
        <v>13186</v>
      </c>
      <c r="G205" s="123" t="s">
        <v>1240</v>
      </c>
    </row>
    <row r="206" spans="6:7" x14ac:dyDescent="0.2">
      <c r="F206" s="123">
        <v>13189</v>
      </c>
      <c r="G206" s="123" t="s">
        <v>1241</v>
      </c>
    </row>
    <row r="207" spans="6:7" x14ac:dyDescent="0.2">
      <c r="F207" s="123">
        <v>13224</v>
      </c>
      <c r="G207" s="123" t="s">
        <v>1242</v>
      </c>
    </row>
    <row r="208" spans="6:7" x14ac:dyDescent="0.2">
      <c r="F208" s="123">
        <v>13325</v>
      </c>
      <c r="G208" s="123" t="s">
        <v>1243</v>
      </c>
    </row>
    <row r="209" spans="6:7" x14ac:dyDescent="0.2">
      <c r="F209" s="123">
        <v>13395</v>
      </c>
      <c r="G209" s="123" t="s">
        <v>1244</v>
      </c>
    </row>
    <row r="210" spans="6:7" x14ac:dyDescent="0.2">
      <c r="F210" s="123">
        <v>13397</v>
      </c>
      <c r="G210" s="123" t="s">
        <v>1245</v>
      </c>
    </row>
    <row r="211" spans="6:7" x14ac:dyDescent="0.2">
      <c r="F211" s="123">
        <v>13455</v>
      </c>
      <c r="G211" s="123" t="s">
        <v>1246</v>
      </c>
    </row>
    <row r="212" spans="6:7" x14ac:dyDescent="0.2">
      <c r="F212" s="123">
        <v>13499</v>
      </c>
      <c r="G212" s="123" t="s">
        <v>1247</v>
      </c>
    </row>
    <row r="213" spans="6:7" x14ac:dyDescent="0.2">
      <c r="F213" s="123">
        <v>13500</v>
      </c>
      <c r="G213" s="123" t="s">
        <v>1248</v>
      </c>
    </row>
    <row r="214" spans="6:7" x14ac:dyDescent="0.2">
      <c r="F214" s="123">
        <v>13511</v>
      </c>
      <c r="G214" s="123" t="s">
        <v>1249</v>
      </c>
    </row>
    <row r="215" spans="6:7" x14ac:dyDescent="0.2">
      <c r="F215" s="123">
        <v>13524</v>
      </c>
      <c r="G215" s="123" t="s">
        <v>1250</v>
      </c>
    </row>
    <row r="216" spans="6:7" x14ac:dyDescent="0.2">
      <c r="F216" s="123">
        <v>13533</v>
      </c>
      <c r="G216" s="123" t="s">
        <v>1251</v>
      </c>
    </row>
    <row r="217" spans="6:7" x14ac:dyDescent="0.2">
      <c r="F217" s="123">
        <v>13565</v>
      </c>
      <c r="G217" s="123" t="s">
        <v>1252</v>
      </c>
    </row>
    <row r="218" spans="6:7" x14ac:dyDescent="0.2">
      <c r="F218" s="123">
        <v>13573</v>
      </c>
      <c r="G218" s="123" t="s">
        <v>1253</v>
      </c>
    </row>
    <row r="219" spans="6:7" x14ac:dyDescent="0.2">
      <c r="F219" s="123">
        <v>13583</v>
      </c>
      <c r="G219" s="123" t="s">
        <v>1254</v>
      </c>
    </row>
    <row r="220" spans="6:7" x14ac:dyDescent="0.2">
      <c r="F220" s="123">
        <v>13591</v>
      </c>
      <c r="G220" s="123" t="s">
        <v>1255</v>
      </c>
    </row>
    <row r="221" spans="6:7" x14ac:dyDescent="0.2">
      <c r="F221" s="123">
        <v>13599</v>
      </c>
      <c r="G221" s="123" t="s">
        <v>1256</v>
      </c>
    </row>
    <row r="222" spans="6:7" x14ac:dyDescent="0.2">
      <c r="F222" s="123">
        <v>13612</v>
      </c>
      <c r="G222" s="123" t="s">
        <v>1257</v>
      </c>
    </row>
    <row r="223" spans="6:7" x14ac:dyDescent="0.2">
      <c r="F223" s="123">
        <v>13613</v>
      </c>
      <c r="G223" s="123" t="s">
        <v>1258</v>
      </c>
    </row>
    <row r="224" spans="6:7" x14ac:dyDescent="0.2">
      <c r="F224" s="123">
        <v>13618</v>
      </c>
      <c r="G224" s="123" t="s">
        <v>1259</v>
      </c>
    </row>
    <row r="225" spans="6:7" x14ac:dyDescent="0.2">
      <c r="F225" s="123">
        <v>13627</v>
      </c>
      <c r="G225" s="123" t="s">
        <v>1260</v>
      </c>
    </row>
    <row r="226" spans="6:7" x14ac:dyDescent="0.2">
      <c r="F226" s="123">
        <v>13629</v>
      </c>
      <c r="G226" s="123" t="s">
        <v>1261</v>
      </c>
    </row>
    <row r="227" spans="6:7" x14ac:dyDescent="0.2">
      <c r="F227" s="123">
        <v>13634</v>
      </c>
      <c r="G227" s="123" t="s">
        <v>1262</v>
      </c>
    </row>
    <row r="228" spans="6:7" x14ac:dyDescent="0.2">
      <c r="F228" s="123">
        <v>13636</v>
      </c>
      <c r="G228" s="123" t="s">
        <v>1263</v>
      </c>
    </row>
    <row r="229" spans="6:7" x14ac:dyDescent="0.2">
      <c r="F229" s="123">
        <v>13641</v>
      </c>
      <c r="G229" s="123" t="s">
        <v>1264</v>
      </c>
    </row>
    <row r="230" spans="6:7" x14ac:dyDescent="0.2">
      <c r="F230" s="123">
        <v>13645</v>
      </c>
      <c r="G230" s="123" t="s">
        <v>1265</v>
      </c>
    </row>
    <row r="231" spans="6:7" x14ac:dyDescent="0.2">
      <c r="F231" s="123">
        <v>13649</v>
      </c>
      <c r="G231" s="123" t="s">
        <v>1266</v>
      </c>
    </row>
    <row r="232" spans="6:7" x14ac:dyDescent="0.2">
      <c r="F232" s="123">
        <v>13650</v>
      </c>
      <c r="G232" s="123" t="s">
        <v>1267</v>
      </c>
    </row>
    <row r="233" spans="6:7" x14ac:dyDescent="0.2">
      <c r="F233" s="123">
        <v>13652</v>
      </c>
      <c r="G233" s="123" t="s">
        <v>1268</v>
      </c>
    </row>
    <row r="234" spans="6:7" x14ac:dyDescent="0.2">
      <c r="F234" s="123">
        <v>13654</v>
      </c>
      <c r="G234" s="123" t="s">
        <v>1269</v>
      </c>
    </row>
    <row r="235" spans="6:7" x14ac:dyDescent="0.2">
      <c r="F235" s="123">
        <v>13656</v>
      </c>
      <c r="G235" s="123" t="s">
        <v>1270</v>
      </c>
    </row>
    <row r="236" spans="6:7" x14ac:dyDescent="0.2">
      <c r="F236" s="123">
        <v>13658</v>
      </c>
      <c r="G236" s="123" t="s">
        <v>1271</v>
      </c>
    </row>
    <row r="237" spans="6:7" x14ac:dyDescent="0.2">
      <c r="F237" s="123">
        <v>13659</v>
      </c>
      <c r="G237" s="123" t="s">
        <v>1272</v>
      </c>
    </row>
    <row r="238" spans="6:7" x14ac:dyDescent="0.2">
      <c r="F238" s="123">
        <v>13660</v>
      </c>
      <c r="G238" s="123" t="s">
        <v>1273</v>
      </c>
    </row>
    <row r="239" spans="6:7" x14ac:dyDescent="0.2">
      <c r="F239" s="123">
        <v>13662</v>
      </c>
      <c r="G239" s="123" t="s">
        <v>1274</v>
      </c>
    </row>
    <row r="240" spans="6:7" x14ac:dyDescent="0.2">
      <c r="F240" s="123">
        <v>13664</v>
      </c>
      <c r="G240" s="123" t="s">
        <v>1275</v>
      </c>
    </row>
    <row r="241" spans="6:7" x14ac:dyDescent="0.2">
      <c r="F241" s="123">
        <v>13680</v>
      </c>
      <c r="G241" s="123" t="s">
        <v>1276</v>
      </c>
    </row>
    <row r="242" spans="6:7" x14ac:dyDescent="0.2">
      <c r="F242" s="123">
        <v>13688</v>
      </c>
      <c r="G242" s="123" t="s">
        <v>1277</v>
      </c>
    </row>
    <row r="243" spans="6:7" x14ac:dyDescent="0.2">
      <c r="F243" s="123">
        <v>13691</v>
      </c>
      <c r="G243" s="123" t="s">
        <v>1278</v>
      </c>
    </row>
    <row r="244" spans="6:7" x14ac:dyDescent="0.2">
      <c r="F244" s="123">
        <v>13692</v>
      </c>
      <c r="G244" s="123" t="s">
        <v>1279</v>
      </c>
    </row>
    <row r="245" spans="6:7" x14ac:dyDescent="0.2">
      <c r="F245" s="123">
        <v>13696</v>
      </c>
      <c r="G245" s="123" t="s">
        <v>1280</v>
      </c>
    </row>
    <row r="246" spans="6:7" x14ac:dyDescent="0.2">
      <c r="F246" s="123">
        <v>13699</v>
      </c>
      <c r="G246" s="123" t="s">
        <v>1281</v>
      </c>
    </row>
    <row r="247" spans="6:7" x14ac:dyDescent="0.2">
      <c r="F247" s="123">
        <v>13700</v>
      </c>
      <c r="G247" s="123" t="s">
        <v>1282</v>
      </c>
    </row>
    <row r="248" spans="6:7" x14ac:dyDescent="0.2">
      <c r="F248" s="123">
        <v>13701</v>
      </c>
      <c r="G248" s="123" t="s">
        <v>1283</v>
      </c>
    </row>
    <row r="249" spans="6:7" x14ac:dyDescent="0.2">
      <c r="F249" s="123">
        <v>13702</v>
      </c>
      <c r="G249" s="123" t="s">
        <v>1284</v>
      </c>
    </row>
    <row r="250" spans="6:7" x14ac:dyDescent="0.2">
      <c r="F250" s="123">
        <v>13703</v>
      </c>
      <c r="G250" s="123" t="s">
        <v>1285</v>
      </c>
    </row>
    <row r="251" spans="6:7" x14ac:dyDescent="0.2">
      <c r="F251" s="123">
        <v>13704</v>
      </c>
      <c r="G251" s="123" t="s">
        <v>1286</v>
      </c>
    </row>
    <row r="252" spans="6:7" x14ac:dyDescent="0.2">
      <c r="F252" s="123">
        <v>13707</v>
      </c>
      <c r="G252" s="123" t="s">
        <v>1287</v>
      </c>
    </row>
    <row r="253" spans="6:7" x14ac:dyDescent="0.2">
      <c r="F253" s="123">
        <v>13708</v>
      </c>
      <c r="G253" s="123" t="s">
        <v>1288</v>
      </c>
    </row>
    <row r="254" spans="6:7" x14ac:dyDescent="0.2">
      <c r="F254" s="123">
        <v>13712</v>
      </c>
      <c r="G254" s="123" t="s">
        <v>1289</v>
      </c>
    </row>
    <row r="255" spans="6:7" x14ac:dyDescent="0.2">
      <c r="F255" s="123">
        <v>13725</v>
      </c>
      <c r="G255" s="123" t="s">
        <v>1290</v>
      </c>
    </row>
    <row r="256" spans="6:7" x14ac:dyDescent="0.2">
      <c r="F256" s="123">
        <v>13731</v>
      </c>
      <c r="G256" s="123" t="s">
        <v>1291</v>
      </c>
    </row>
    <row r="257" spans="6:7" x14ac:dyDescent="0.2">
      <c r="F257" s="123">
        <v>13744</v>
      </c>
      <c r="G257" s="123" t="s">
        <v>1292</v>
      </c>
    </row>
    <row r="258" spans="6:7" x14ac:dyDescent="0.2">
      <c r="F258" s="123">
        <v>13749</v>
      </c>
      <c r="G258" s="123" t="s">
        <v>1293</v>
      </c>
    </row>
    <row r="259" spans="6:7" x14ac:dyDescent="0.2">
      <c r="F259" s="123">
        <v>13752</v>
      </c>
      <c r="G259" s="123" t="s">
        <v>1294</v>
      </c>
    </row>
    <row r="260" spans="6:7" x14ac:dyDescent="0.2">
      <c r="F260" s="123">
        <v>13756</v>
      </c>
      <c r="G260" s="123" t="s">
        <v>1295</v>
      </c>
    </row>
    <row r="261" spans="6:7" x14ac:dyDescent="0.2">
      <c r="F261" s="123">
        <v>13757</v>
      </c>
      <c r="G261" s="123" t="s">
        <v>1296</v>
      </c>
    </row>
    <row r="262" spans="6:7" x14ac:dyDescent="0.2">
      <c r="F262" s="123">
        <v>13760</v>
      </c>
      <c r="G262" s="123" t="s">
        <v>1297</v>
      </c>
    </row>
    <row r="263" spans="6:7" x14ac:dyDescent="0.2">
      <c r="F263" s="123">
        <v>13761</v>
      </c>
      <c r="G263" s="123" t="s">
        <v>1298</v>
      </c>
    </row>
    <row r="264" spans="6:7" x14ac:dyDescent="0.2">
      <c r="F264" s="123">
        <v>13762</v>
      </c>
      <c r="G264" s="123" t="s">
        <v>1299</v>
      </c>
    </row>
    <row r="265" spans="6:7" x14ac:dyDescent="0.2">
      <c r="F265" s="123">
        <v>13763</v>
      </c>
      <c r="G265" s="123" t="s">
        <v>1300</v>
      </c>
    </row>
    <row r="266" spans="6:7" x14ac:dyDescent="0.2">
      <c r="F266" s="123">
        <v>13764</v>
      </c>
      <c r="G266" s="123" t="s">
        <v>1301</v>
      </c>
    </row>
    <row r="267" spans="6:7" x14ac:dyDescent="0.2">
      <c r="F267" s="123">
        <v>13767</v>
      </c>
      <c r="G267" s="123" t="s">
        <v>1302</v>
      </c>
    </row>
    <row r="268" spans="6:7" x14ac:dyDescent="0.2">
      <c r="F268" s="123">
        <v>13781</v>
      </c>
      <c r="G268" s="123" t="s">
        <v>1303</v>
      </c>
    </row>
    <row r="269" spans="6:7" x14ac:dyDescent="0.2">
      <c r="F269" s="123">
        <v>13782</v>
      </c>
      <c r="G269" s="123" t="s">
        <v>1304</v>
      </c>
    </row>
    <row r="270" spans="6:7" x14ac:dyDescent="0.2">
      <c r="F270" s="123">
        <v>13786</v>
      </c>
      <c r="G270" s="123" t="s">
        <v>1305</v>
      </c>
    </row>
    <row r="271" spans="6:7" x14ac:dyDescent="0.2">
      <c r="F271" s="123">
        <v>13792</v>
      </c>
      <c r="G271" s="123" t="s">
        <v>1306</v>
      </c>
    </row>
    <row r="272" spans="6:7" x14ac:dyDescent="0.2">
      <c r="F272" s="123">
        <v>13795</v>
      </c>
      <c r="G272" s="123" t="s">
        <v>1307</v>
      </c>
    </row>
    <row r="273" spans="6:7" x14ac:dyDescent="0.2">
      <c r="F273" s="123">
        <v>13800</v>
      </c>
      <c r="G273" s="123" t="s">
        <v>1308</v>
      </c>
    </row>
    <row r="274" spans="6:7" x14ac:dyDescent="0.2">
      <c r="F274" s="123">
        <v>13805</v>
      </c>
      <c r="G274" s="123" t="s">
        <v>1309</v>
      </c>
    </row>
    <row r="275" spans="6:7" x14ac:dyDescent="0.2">
      <c r="F275" s="123">
        <v>13807</v>
      </c>
      <c r="G275" s="123" t="s">
        <v>1310</v>
      </c>
    </row>
    <row r="276" spans="6:7" x14ac:dyDescent="0.2">
      <c r="F276" s="123">
        <v>13809</v>
      </c>
      <c r="G276" s="123" t="s">
        <v>1311</v>
      </c>
    </row>
    <row r="277" spans="6:7" x14ac:dyDescent="0.2">
      <c r="F277" s="123">
        <v>13818</v>
      </c>
      <c r="G277" s="123" t="s">
        <v>1312</v>
      </c>
    </row>
    <row r="278" spans="6:7" x14ac:dyDescent="0.2">
      <c r="F278" s="123">
        <v>13820</v>
      </c>
      <c r="G278" s="123" t="s">
        <v>1313</v>
      </c>
    </row>
    <row r="279" spans="6:7" x14ac:dyDescent="0.2">
      <c r="F279" s="123">
        <v>13833</v>
      </c>
      <c r="G279" s="123" t="s">
        <v>1314</v>
      </c>
    </row>
    <row r="280" spans="6:7" x14ac:dyDescent="0.2">
      <c r="F280" s="123">
        <v>13835</v>
      </c>
      <c r="G280" s="123" t="s">
        <v>1315</v>
      </c>
    </row>
    <row r="281" spans="6:7" x14ac:dyDescent="0.2">
      <c r="F281" s="123">
        <v>13836</v>
      </c>
      <c r="G281" s="123" t="s">
        <v>1316</v>
      </c>
    </row>
    <row r="282" spans="6:7" x14ac:dyDescent="0.2">
      <c r="F282" s="123">
        <v>13837</v>
      </c>
      <c r="G282" s="123" t="s">
        <v>1317</v>
      </c>
    </row>
    <row r="283" spans="6:7" x14ac:dyDescent="0.2">
      <c r="F283" s="123">
        <v>13841</v>
      </c>
      <c r="G283" s="123" t="s">
        <v>1318</v>
      </c>
    </row>
    <row r="284" spans="6:7" x14ac:dyDescent="0.2">
      <c r="F284" s="123">
        <v>13851</v>
      </c>
      <c r="G284" s="123" t="s">
        <v>1319</v>
      </c>
    </row>
    <row r="285" spans="6:7" x14ac:dyDescent="0.2">
      <c r="F285" s="123">
        <v>13863</v>
      </c>
      <c r="G285" s="123" t="s">
        <v>1320</v>
      </c>
    </row>
    <row r="286" spans="6:7" x14ac:dyDescent="0.2">
      <c r="F286" s="123">
        <v>13871</v>
      </c>
      <c r="G286" s="123" t="s">
        <v>1321</v>
      </c>
    </row>
    <row r="287" spans="6:7" x14ac:dyDescent="0.2">
      <c r="F287" s="123">
        <v>13873</v>
      </c>
      <c r="G287" s="123" t="s">
        <v>1322</v>
      </c>
    </row>
    <row r="288" spans="6:7" x14ac:dyDescent="0.2">
      <c r="F288" s="123">
        <v>13874</v>
      </c>
      <c r="G288" s="123" t="s">
        <v>1323</v>
      </c>
    </row>
    <row r="289" spans="6:7" x14ac:dyDescent="0.2">
      <c r="F289" s="123">
        <v>13880</v>
      </c>
      <c r="G289" s="123" t="s">
        <v>1324</v>
      </c>
    </row>
    <row r="290" spans="6:7" x14ac:dyDescent="0.2">
      <c r="F290" s="123">
        <v>13887</v>
      </c>
      <c r="G290" s="123" t="s">
        <v>1325</v>
      </c>
    </row>
    <row r="291" spans="6:7" x14ac:dyDescent="0.2">
      <c r="F291" s="123">
        <v>13892</v>
      </c>
      <c r="G291" s="123" t="s">
        <v>1326</v>
      </c>
    </row>
    <row r="292" spans="6:7" x14ac:dyDescent="0.2">
      <c r="F292" s="123">
        <v>13893</v>
      </c>
      <c r="G292" s="123" t="s">
        <v>1327</v>
      </c>
    </row>
    <row r="293" spans="6:7" x14ac:dyDescent="0.2">
      <c r="F293" s="123">
        <v>13898</v>
      </c>
      <c r="G293" s="123" t="s">
        <v>1328</v>
      </c>
    </row>
    <row r="294" spans="6:7" x14ac:dyDescent="0.2">
      <c r="F294" s="123">
        <v>13899</v>
      </c>
      <c r="G294" s="123" t="s">
        <v>1329</v>
      </c>
    </row>
    <row r="295" spans="6:7" x14ac:dyDescent="0.2">
      <c r="F295" s="123">
        <v>13901</v>
      </c>
      <c r="G295" s="123" t="s">
        <v>1330</v>
      </c>
    </row>
    <row r="296" spans="6:7" x14ac:dyDescent="0.2">
      <c r="F296" s="123">
        <v>13902</v>
      </c>
      <c r="G296" s="123" t="s">
        <v>1331</v>
      </c>
    </row>
    <row r="297" spans="6:7" x14ac:dyDescent="0.2">
      <c r="F297" s="123">
        <v>13908</v>
      </c>
      <c r="G297" s="123" t="s">
        <v>1332</v>
      </c>
    </row>
    <row r="298" spans="6:7" x14ac:dyDescent="0.2">
      <c r="F298" s="123">
        <v>13918</v>
      </c>
      <c r="G298" s="123" t="s">
        <v>1333</v>
      </c>
    </row>
    <row r="299" spans="6:7" x14ac:dyDescent="0.2">
      <c r="F299" s="123">
        <v>13925</v>
      </c>
      <c r="G299" s="123" t="s">
        <v>1334</v>
      </c>
    </row>
    <row r="300" spans="6:7" x14ac:dyDescent="0.2">
      <c r="F300" s="123">
        <v>13931</v>
      </c>
      <c r="G300" s="123" t="s">
        <v>1335</v>
      </c>
    </row>
    <row r="301" spans="6:7" x14ac:dyDescent="0.2">
      <c r="F301" s="123">
        <v>13941</v>
      </c>
      <c r="G301" s="123" t="s">
        <v>1336</v>
      </c>
    </row>
    <row r="302" spans="6:7" x14ac:dyDescent="0.2">
      <c r="F302" s="123">
        <v>13968</v>
      </c>
      <c r="G302" s="123" t="s">
        <v>1337</v>
      </c>
    </row>
    <row r="303" spans="6:7" x14ac:dyDescent="0.2">
      <c r="F303" s="123">
        <v>13976</v>
      </c>
      <c r="G303" s="123" t="s">
        <v>1338</v>
      </c>
    </row>
    <row r="304" spans="6:7" x14ac:dyDescent="0.2">
      <c r="F304" s="123">
        <v>13981</v>
      </c>
      <c r="G304" s="123" t="s">
        <v>1339</v>
      </c>
    </row>
    <row r="305" spans="6:7" x14ac:dyDescent="0.2">
      <c r="F305" s="123">
        <v>13989</v>
      </c>
      <c r="G305" s="123" t="s">
        <v>1340</v>
      </c>
    </row>
    <row r="306" spans="6:7" x14ac:dyDescent="0.2">
      <c r="F306" s="123">
        <v>13991</v>
      </c>
      <c r="G306" s="123" t="s">
        <v>1341</v>
      </c>
    </row>
    <row r="307" spans="6:7" x14ac:dyDescent="0.2">
      <c r="F307" s="123">
        <v>14001</v>
      </c>
      <c r="G307" s="123" t="s">
        <v>1342</v>
      </c>
    </row>
    <row r="308" spans="6:7" x14ac:dyDescent="0.2">
      <c r="F308" s="123">
        <v>14002</v>
      </c>
      <c r="G308" s="123" t="s">
        <v>1343</v>
      </c>
    </row>
    <row r="309" spans="6:7" x14ac:dyDescent="0.2">
      <c r="F309" s="123">
        <v>14027</v>
      </c>
      <c r="G309" s="123" t="s">
        <v>1344</v>
      </c>
    </row>
    <row r="310" spans="6:7" x14ac:dyDescent="0.2">
      <c r="F310" s="123">
        <v>14029</v>
      </c>
      <c r="G310" s="123" t="s">
        <v>1345</v>
      </c>
    </row>
    <row r="311" spans="6:7" x14ac:dyDescent="0.2">
      <c r="F311" s="123">
        <v>14033</v>
      </c>
      <c r="G311" s="123" t="s">
        <v>1346</v>
      </c>
    </row>
    <row r="312" spans="6:7" x14ac:dyDescent="0.2">
      <c r="F312" s="123">
        <v>14038</v>
      </c>
      <c r="G312" s="123" t="s">
        <v>1347</v>
      </c>
    </row>
    <row r="313" spans="6:7" x14ac:dyDescent="0.2">
      <c r="F313" s="123">
        <v>14044</v>
      </c>
      <c r="G313" s="123" t="s">
        <v>1348</v>
      </c>
    </row>
    <row r="314" spans="6:7" x14ac:dyDescent="0.2">
      <c r="F314" s="123">
        <v>14045</v>
      </c>
      <c r="G314" s="123" t="s">
        <v>1349</v>
      </c>
    </row>
    <row r="315" spans="6:7" x14ac:dyDescent="0.2">
      <c r="F315" s="123">
        <v>14083</v>
      </c>
      <c r="G315" s="123" t="s">
        <v>1350</v>
      </c>
    </row>
    <row r="316" spans="6:7" x14ac:dyDescent="0.2">
      <c r="F316" s="123">
        <v>14097</v>
      </c>
      <c r="G316" s="123" t="s">
        <v>1351</v>
      </c>
    </row>
    <row r="317" spans="6:7" x14ac:dyDescent="0.2">
      <c r="F317" s="123">
        <v>14099</v>
      </c>
      <c r="G317" s="123" t="s">
        <v>1352</v>
      </c>
    </row>
    <row r="318" spans="6:7" x14ac:dyDescent="0.2">
      <c r="F318" s="123">
        <v>14101</v>
      </c>
      <c r="G318" s="123" t="s">
        <v>1353</v>
      </c>
    </row>
    <row r="319" spans="6:7" x14ac:dyDescent="0.2">
      <c r="F319" s="123">
        <v>14103</v>
      </c>
      <c r="G319" s="123" t="s">
        <v>1354</v>
      </c>
    </row>
    <row r="320" spans="6:7" x14ac:dyDescent="0.2">
      <c r="F320" s="123">
        <v>14105</v>
      </c>
      <c r="G320" s="123" t="s">
        <v>1355</v>
      </c>
    </row>
    <row r="321" spans="6:7" x14ac:dyDescent="0.2">
      <c r="F321" s="123">
        <v>14108</v>
      </c>
      <c r="G321" s="123" t="s">
        <v>1356</v>
      </c>
    </row>
    <row r="322" spans="6:7" x14ac:dyDescent="0.2">
      <c r="F322" s="123">
        <v>14112</v>
      </c>
      <c r="G322" s="123" t="s">
        <v>1357</v>
      </c>
    </row>
    <row r="323" spans="6:7" x14ac:dyDescent="0.2">
      <c r="F323" s="123">
        <v>14125</v>
      </c>
      <c r="G323" s="123" t="s">
        <v>1358</v>
      </c>
    </row>
    <row r="324" spans="6:7" x14ac:dyDescent="0.2">
      <c r="F324" s="123">
        <v>14133</v>
      </c>
      <c r="G324" s="123" t="s">
        <v>1359</v>
      </c>
    </row>
    <row r="325" spans="6:7" x14ac:dyDescent="0.2">
      <c r="F325" s="123">
        <v>14138</v>
      </c>
      <c r="G325" s="123" t="s">
        <v>1360</v>
      </c>
    </row>
    <row r="326" spans="6:7" x14ac:dyDescent="0.2">
      <c r="F326" s="123">
        <v>14139</v>
      </c>
      <c r="G326" s="123" t="s">
        <v>1361</v>
      </c>
    </row>
    <row r="327" spans="6:7" x14ac:dyDescent="0.2">
      <c r="F327" s="123">
        <v>14140</v>
      </c>
      <c r="G327" s="123" t="s">
        <v>1362</v>
      </c>
    </row>
    <row r="328" spans="6:7" x14ac:dyDescent="0.2">
      <c r="F328" s="123">
        <v>14143</v>
      </c>
      <c r="G328" s="123" t="s">
        <v>1363</v>
      </c>
    </row>
    <row r="329" spans="6:7" x14ac:dyDescent="0.2">
      <c r="F329" s="123">
        <v>14145</v>
      </c>
      <c r="G329" s="123" t="s">
        <v>1364</v>
      </c>
    </row>
    <row r="330" spans="6:7" x14ac:dyDescent="0.2">
      <c r="F330" s="123">
        <v>14148</v>
      </c>
      <c r="G330" s="123" t="s">
        <v>1365</v>
      </c>
    </row>
    <row r="331" spans="6:7" x14ac:dyDescent="0.2">
      <c r="F331" s="123">
        <v>14150</v>
      </c>
      <c r="G331" s="123" t="s">
        <v>1366</v>
      </c>
    </row>
    <row r="332" spans="6:7" x14ac:dyDescent="0.2">
      <c r="F332" s="123">
        <v>14151</v>
      </c>
      <c r="G332" s="123" t="s">
        <v>1367</v>
      </c>
    </row>
    <row r="333" spans="6:7" x14ac:dyDescent="0.2">
      <c r="F333" s="123">
        <v>14157</v>
      </c>
      <c r="G333" s="123" t="s">
        <v>1368</v>
      </c>
    </row>
    <row r="334" spans="6:7" x14ac:dyDescent="0.2">
      <c r="F334" s="123">
        <v>14159</v>
      </c>
      <c r="G334" s="123" t="s">
        <v>1369</v>
      </c>
    </row>
    <row r="335" spans="6:7" x14ac:dyDescent="0.2">
      <c r="F335" s="123">
        <v>14163</v>
      </c>
      <c r="G335" s="123" t="s">
        <v>1370</v>
      </c>
    </row>
    <row r="336" spans="6:7" x14ac:dyDescent="0.2">
      <c r="F336" s="123">
        <v>14167</v>
      </c>
      <c r="G336" s="123" t="s">
        <v>1371</v>
      </c>
    </row>
    <row r="337" spans="6:7" x14ac:dyDescent="0.2">
      <c r="F337" s="123">
        <v>14168</v>
      </c>
      <c r="G337" s="123" t="s">
        <v>1372</v>
      </c>
    </row>
    <row r="338" spans="6:7" x14ac:dyDescent="0.2">
      <c r="F338" s="123">
        <v>14170</v>
      </c>
      <c r="G338" s="123" t="s">
        <v>1373</v>
      </c>
    </row>
    <row r="339" spans="6:7" x14ac:dyDescent="0.2">
      <c r="F339" s="123">
        <v>14172</v>
      </c>
      <c r="G339" s="123" t="s">
        <v>1374</v>
      </c>
    </row>
    <row r="340" spans="6:7" x14ac:dyDescent="0.2">
      <c r="F340" s="123">
        <v>14177</v>
      </c>
      <c r="G340" s="123" t="s">
        <v>1375</v>
      </c>
    </row>
    <row r="341" spans="6:7" x14ac:dyDescent="0.2">
      <c r="F341" s="123">
        <v>14188</v>
      </c>
      <c r="G341" s="123" t="s">
        <v>1376</v>
      </c>
    </row>
    <row r="342" spans="6:7" x14ac:dyDescent="0.2">
      <c r="F342" s="123">
        <v>14190</v>
      </c>
      <c r="G342" s="123" t="s">
        <v>1377</v>
      </c>
    </row>
    <row r="343" spans="6:7" x14ac:dyDescent="0.2">
      <c r="F343" s="123">
        <v>14192</v>
      </c>
      <c r="G343" s="123" t="s">
        <v>1378</v>
      </c>
    </row>
    <row r="344" spans="6:7" x14ac:dyDescent="0.2">
      <c r="F344" s="123">
        <v>14194</v>
      </c>
      <c r="G344" s="123" t="s">
        <v>1379</v>
      </c>
    </row>
    <row r="345" spans="6:7" x14ac:dyDescent="0.2">
      <c r="F345" s="123">
        <v>14195</v>
      </c>
      <c r="G345" s="123" t="s">
        <v>1380</v>
      </c>
    </row>
    <row r="346" spans="6:7" x14ac:dyDescent="0.2">
      <c r="F346" s="123">
        <v>14196</v>
      </c>
      <c r="G346" s="123" t="s">
        <v>1381</v>
      </c>
    </row>
    <row r="347" spans="6:7" x14ac:dyDescent="0.2">
      <c r="F347" s="123">
        <v>14197</v>
      </c>
      <c r="G347" s="123" t="s">
        <v>1382</v>
      </c>
    </row>
    <row r="348" spans="6:7" x14ac:dyDescent="0.2">
      <c r="F348" s="123">
        <v>14198</v>
      </c>
      <c r="G348" s="123" t="s">
        <v>1383</v>
      </c>
    </row>
    <row r="349" spans="6:7" x14ac:dyDescent="0.2">
      <c r="F349" s="123">
        <v>14199</v>
      </c>
      <c r="G349" s="123" t="s">
        <v>1384</v>
      </c>
    </row>
    <row r="350" spans="6:7" x14ac:dyDescent="0.2">
      <c r="F350" s="123">
        <v>14200</v>
      </c>
      <c r="G350" s="123" t="s">
        <v>1385</v>
      </c>
    </row>
    <row r="351" spans="6:7" x14ac:dyDescent="0.2">
      <c r="F351" s="123">
        <v>14208</v>
      </c>
      <c r="G351" s="123" t="s">
        <v>1386</v>
      </c>
    </row>
    <row r="352" spans="6:7" x14ac:dyDescent="0.2">
      <c r="F352" s="123">
        <v>14209</v>
      </c>
      <c r="G352" s="123" t="s">
        <v>1387</v>
      </c>
    </row>
    <row r="353" spans="6:7" x14ac:dyDescent="0.2">
      <c r="F353" s="123">
        <v>14211</v>
      </c>
      <c r="G353" s="123" t="s">
        <v>1388</v>
      </c>
    </row>
    <row r="354" spans="6:7" x14ac:dyDescent="0.2">
      <c r="F354" s="123">
        <v>14212</v>
      </c>
      <c r="G354" s="123" t="s">
        <v>1389</v>
      </c>
    </row>
    <row r="355" spans="6:7" x14ac:dyDescent="0.2">
      <c r="F355" s="123">
        <v>14216</v>
      </c>
      <c r="G355" s="123" t="s">
        <v>1390</v>
      </c>
    </row>
    <row r="356" spans="6:7" x14ac:dyDescent="0.2">
      <c r="F356" s="123">
        <v>14219</v>
      </c>
      <c r="G356" s="123" t="s">
        <v>1391</v>
      </c>
    </row>
    <row r="357" spans="6:7" x14ac:dyDescent="0.2">
      <c r="F357" s="123">
        <v>14223</v>
      </c>
      <c r="G357" s="123" t="s">
        <v>1392</v>
      </c>
    </row>
    <row r="358" spans="6:7" x14ac:dyDescent="0.2">
      <c r="F358" s="123">
        <v>14226</v>
      </c>
      <c r="G358" s="123" t="s">
        <v>1393</v>
      </c>
    </row>
    <row r="359" spans="6:7" x14ac:dyDescent="0.2">
      <c r="F359" s="123">
        <v>14230</v>
      </c>
      <c r="G359" s="123" t="s">
        <v>1394</v>
      </c>
    </row>
    <row r="360" spans="6:7" x14ac:dyDescent="0.2">
      <c r="F360" s="123">
        <v>14231</v>
      </c>
      <c r="G360" s="123" t="s">
        <v>1395</v>
      </c>
    </row>
    <row r="361" spans="6:7" x14ac:dyDescent="0.2">
      <c r="F361" s="123">
        <v>14234</v>
      </c>
      <c r="G361" s="123" t="s">
        <v>1396</v>
      </c>
    </row>
    <row r="362" spans="6:7" x14ac:dyDescent="0.2">
      <c r="F362" s="123">
        <v>14236</v>
      </c>
      <c r="G362" s="123" t="s">
        <v>1397</v>
      </c>
    </row>
    <row r="363" spans="6:7" x14ac:dyDescent="0.2">
      <c r="F363" s="123">
        <v>14237</v>
      </c>
      <c r="G363" s="123" t="s">
        <v>1398</v>
      </c>
    </row>
    <row r="364" spans="6:7" x14ac:dyDescent="0.2">
      <c r="F364" s="123">
        <v>14240</v>
      </c>
      <c r="G364" s="123" t="s">
        <v>1399</v>
      </c>
    </row>
    <row r="365" spans="6:7" x14ac:dyDescent="0.2">
      <c r="F365" s="123">
        <v>14252</v>
      </c>
      <c r="G365" s="123" t="s">
        <v>1400</v>
      </c>
    </row>
    <row r="366" spans="6:7" x14ac:dyDescent="0.2">
      <c r="F366" s="123">
        <v>14254</v>
      </c>
      <c r="G366" s="123" t="s">
        <v>1401</v>
      </c>
    </row>
    <row r="367" spans="6:7" x14ac:dyDescent="0.2">
      <c r="F367" s="123">
        <v>14257</v>
      </c>
      <c r="G367" s="123" t="s">
        <v>1402</v>
      </c>
    </row>
    <row r="368" spans="6:7" x14ac:dyDescent="0.2">
      <c r="F368" s="123">
        <v>14261</v>
      </c>
      <c r="G368" s="123" t="s">
        <v>1403</v>
      </c>
    </row>
    <row r="369" spans="6:7" x14ac:dyDescent="0.2">
      <c r="F369" s="123">
        <v>14262</v>
      </c>
      <c r="G369" s="123" t="s">
        <v>1404</v>
      </c>
    </row>
    <row r="370" spans="6:7" x14ac:dyDescent="0.2">
      <c r="F370" s="123">
        <v>14265</v>
      </c>
      <c r="G370" s="123" t="s">
        <v>1405</v>
      </c>
    </row>
    <row r="371" spans="6:7" x14ac:dyDescent="0.2">
      <c r="F371" s="123">
        <v>14267</v>
      </c>
      <c r="G371" s="123" t="s">
        <v>1406</v>
      </c>
    </row>
    <row r="372" spans="6:7" x14ac:dyDescent="0.2">
      <c r="F372" s="123">
        <v>14274</v>
      </c>
      <c r="G372" s="123" t="s">
        <v>1407</v>
      </c>
    </row>
    <row r="373" spans="6:7" x14ac:dyDescent="0.2">
      <c r="F373" s="123">
        <v>14276</v>
      </c>
      <c r="G373" s="123" t="s">
        <v>1408</v>
      </c>
    </row>
    <row r="374" spans="6:7" x14ac:dyDescent="0.2">
      <c r="F374" s="123">
        <v>14278</v>
      </c>
      <c r="G374" s="123" t="s">
        <v>1409</v>
      </c>
    </row>
    <row r="375" spans="6:7" x14ac:dyDescent="0.2">
      <c r="F375" s="123">
        <v>14284</v>
      </c>
      <c r="G375" s="123" t="s">
        <v>1410</v>
      </c>
    </row>
    <row r="376" spans="6:7" x14ac:dyDescent="0.2">
      <c r="F376" s="123">
        <v>14286</v>
      </c>
      <c r="G376" s="123" t="s">
        <v>1411</v>
      </c>
    </row>
    <row r="377" spans="6:7" x14ac:dyDescent="0.2">
      <c r="F377" s="123">
        <v>14296</v>
      </c>
      <c r="G377" s="123" t="s">
        <v>1412</v>
      </c>
    </row>
    <row r="378" spans="6:7" x14ac:dyDescent="0.2">
      <c r="F378" s="123">
        <v>14298</v>
      </c>
      <c r="G378" s="123" t="s">
        <v>1413</v>
      </c>
    </row>
    <row r="379" spans="6:7" x14ac:dyDescent="0.2">
      <c r="F379" s="123">
        <v>14299</v>
      </c>
      <c r="G379" s="123" t="s">
        <v>1414</v>
      </c>
    </row>
    <row r="380" spans="6:7" x14ac:dyDescent="0.2">
      <c r="F380" s="123">
        <v>14300</v>
      </c>
      <c r="G380" s="123" t="s">
        <v>1415</v>
      </c>
    </row>
    <row r="381" spans="6:7" x14ac:dyDescent="0.2">
      <c r="F381" s="123">
        <v>14304</v>
      </c>
      <c r="G381" s="123" t="s">
        <v>1416</v>
      </c>
    </row>
    <row r="382" spans="6:7" x14ac:dyDescent="0.2">
      <c r="F382" s="123">
        <v>14306</v>
      </c>
      <c r="G382" s="123" t="s">
        <v>1417</v>
      </c>
    </row>
    <row r="383" spans="6:7" x14ac:dyDescent="0.2">
      <c r="F383" s="123">
        <v>14307</v>
      </c>
      <c r="G383" s="123" t="s">
        <v>1418</v>
      </c>
    </row>
    <row r="384" spans="6:7" x14ac:dyDescent="0.2">
      <c r="F384" s="123">
        <v>14309</v>
      </c>
      <c r="G384" s="123" t="s">
        <v>1419</v>
      </c>
    </row>
    <row r="385" spans="6:7" x14ac:dyDescent="0.2">
      <c r="F385" s="123">
        <v>14310</v>
      </c>
      <c r="G385" s="123" t="s">
        <v>1420</v>
      </c>
    </row>
    <row r="386" spans="6:7" x14ac:dyDescent="0.2">
      <c r="F386" s="123">
        <v>14316</v>
      </c>
      <c r="G386" s="123" t="s">
        <v>1421</v>
      </c>
    </row>
    <row r="387" spans="6:7" x14ac:dyDescent="0.2">
      <c r="F387" s="123">
        <v>14317</v>
      </c>
      <c r="G387" s="123" t="s">
        <v>1422</v>
      </c>
    </row>
    <row r="388" spans="6:7" x14ac:dyDescent="0.2">
      <c r="F388" s="123">
        <v>14318</v>
      </c>
      <c r="G388" s="123" t="s">
        <v>1423</v>
      </c>
    </row>
    <row r="389" spans="6:7" x14ac:dyDescent="0.2">
      <c r="F389" s="123">
        <v>14319</v>
      </c>
      <c r="G389" s="123" t="s">
        <v>1424</v>
      </c>
    </row>
    <row r="390" spans="6:7" x14ac:dyDescent="0.2">
      <c r="F390" s="123">
        <v>14320</v>
      </c>
      <c r="G390" s="123" t="s">
        <v>1425</v>
      </c>
    </row>
    <row r="391" spans="6:7" x14ac:dyDescent="0.2">
      <c r="F391" s="123">
        <v>14323</v>
      </c>
      <c r="G391" s="123" t="s">
        <v>1426</v>
      </c>
    </row>
    <row r="392" spans="6:7" x14ac:dyDescent="0.2">
      <c r="F392" s="123">
        <v>14345</v>
      </c>
      <c r="G392" s="123" t="s">
        <v>1427</v>
      </c>
    </row>
    <row r="393" spans="6:7" x14ac:dyDescent="0.2">
      <c r="F393" s="123">
        <v>14346</v>
      </c>
      <c r="G393" s="123" t="s">
        <v>1428</v>
      </c>
    </row>
    <row r="394" spans="6:7" x14ac:dyDescent="0.2">
      <c r="F394" s="123">
        <v>14348</v>
      </c>
      <c r="G394" s="123" t="s">
        <v>1429</v>
      </c>
    </row>
    <row r="395" spans="6:7" x14ac:dyDescent="0.2">
      <c r="F395" s="123">
        <v>14350</v>
      </c>
      <c r="G395" s="123" t="s">
        <v>1430</v>
      </c>
    </row>
    <row r="396" spans="6:7" x14ac:dyDescent="0.2">
      <c r="F396" s="123">
        <v>14351</v>
      </c>
      <c r="G396" s="123" t="s">
        <v>1431</v>
      </c>
    </row>
    <row r="397" spans="6:7" x14ac:dyDescent="0.2">
      <c r="F397" s="123">
        <v>14352</v>
      </c>
      <c r="G397" s="123" t="s">
        <v>1432</v>
      </c>
    </row>
    <row r="398" spans="6:7" x14ac:dyDescent="0.2">
      <c r="F398" s="123">
        <v>14353</v>
      </c>
      <c r="G398" s="123" t="s">
        <v>1433</v>
      </c>
    </row>
    <row r="399" spans="6:7" x14ac:dyDescent="0.2">
      <c r="F399" s="123">
        <v>14354</v>
      </c>
      <c r="G399" s="123" t="s">
        <v>1434</v>
      </c>
    </row>
    <row r="400" spans="6:7" x14ac:dyDescent="0.2">
      <c r="F400" s="123">
        <v>14361</v>
      </c>
      <c r="G400" s="123" t="s">
        <v>1435</v>
      </c>
    </row>
    <row r="401" spans="6:7" x14ac:dyDescent="0.2">
      <c r="F401" s="123">
        <v>14365</v>
      </c>
      <c r="G401" s="123" t="s">
        <v>1436</v>
      </c>
    </row>
    <row r="402" spans="6:7" x14ac:dyDescent="0.2">
      <c r="F402" s="123">
        <v>14368</v>
      </c>
      <c r="G402" s="123" t="s">
        <v>1437</v>
      </c>
    </row>
    <row r="403" spans="6:7" x14ac:dyDescent="0.2">
      <c r="F403" s="123">
        <v>14370</v>
      </c>
      <c r="G403" s="123" t="s">
        <v>1438</v>
      </c>
    </row>
    <row r="404" spans="6:7" x14ac:dyDescent="0.2">
      <c r="F404" s="123">
        <v>14376</v>
      </c>
      <c r="G404" s="123" t="s">
        <v>1439</v>
      </c>
    </row>
    <row r="405" spans="6:7" x14ac:dyDescent="0.2">
      <c r="F405" s="123">
        <v>14378</v>
      </c>
      <c r="G405" s="123" t="s">
        <v>1440</v>
      </c>
    </row>
    <row r="406" spans="6:7" x14ac:dyDescent="0.2">
      <c r="F406" s="123">
        <v>14379</v>
      </c>
      <c r="G406" s="123" t="s">
        <v>1441</v>
      </c>
    </row>
    <row r="407" spans="6:7" x14ac:dyDescent="0.2">
      <c r="F407" s="123">
        <v>14382</v>
      </c>
      <c r="G407" s="123" t="s">
        <v>1442</v>
      </c>
    </row>
    <row r="408" spans="6:7" x14ac:dyDescent="0.2">
      <c r="F408" s="123">
        <v>14388</v>
      </c>
      <c r="G408" s="123" t="s">
        <v>1443</v>
      </c>
    </row>
    <row r="409" spans="6:7" x14ac:dyDescent="0.2">
      <c r="F409" s="123">
        <v>14391</v>
      </c>
      <c r="G409" s="123" t="s">
        <v>1444</v>
      </c>
    </row>
    <row r="410" spans="6:7" x14ac:dyDescent="0.2">
      <c r="F410" s="123">
        <v>14393</v>
      </c>
      <c r="G410" s="123" t="s">
        <v>1445</v>
      </c>
    </row>
    <row r="411" spans="6:7" x14ac:dyDescent="0.2">
      <c r="F411" s="123">
        <v>14398</v>
      </c>
      <c r="G411" s="123" t="s">
        <v>1446</v>
      </c>
    </row>
    <row r="412" spans="6:7" x14ac:dyDescent="0.2">
      <c r="F412" s="123">
        <v>14399</v>
      </c>
      <c r="G412" s="123" t="s">
        <v>1447</v>
      </c>
    </row>
    <row r="413" spans="6:7" x14ac:dyDescent="0.2">
      <c r="F413" s="123">
        <v>14400</v>
      </c>
      <c r="G413" s="123" t="s">
        <v>1448</v>
      </c>
    </row>
    <row r="414" spans="6:7" x14ac:dyDescent="0.2">
      <c r="F414" s="123">
        <v>14403</v>
      </c>
      <c r="G414" s="123" t="s">
        <v>1449</v>
      </c>
    </row>
    <row r="415" spans="6:7" x14ac:dyDescent="0.2">
      <c r="F415" s="123">
        <v>14405</v>
      </c>
      <c r="G415" s="123" t="s">
        <v>1450</v>
      </c>
    </row>
    <row r="416" spans="6:7" x14ac:dyDescent="0.2">
      <c r="F416" s="123">
        <v>14406</v>
      </c>
      <c r="G416" s="123" t="s">
        <v>1451</v>
      </c>
    </row>
    <row r="417" spans="6:7" x14ac:dyDescent="0.2">
      <c r="F417" s="123">
        <v>14409</v>
      </c>
      <c r="G417" s="123" t="s">
        <v>1452</v>
      </c>
    </row>
    <row r="418" spans="6:7" x14ac:dyDescent="0.2">
      <c r="F418" s="123">
        <v>14410</v>
      </c>
      <c r="G418" s="123" t="s">
        <v>1453</v>
      </c>
    </row>
    <row r="419" spans="6:7" x14ac:dyDescent="0.2">
      <c r="F419" s="123">
        <v>14411</v>
      </c>
      <c r="G419" s="123" t="s">
        <v>1454</v>
      </c>
    </row>
    <row r="420" spans="6:7" x14ac:dyDescent="0.2">
      <c r="F420" s="123">
        <v>14412</v>
      </c>
      <c r="G420" s="123" t="s">
        <v>1455</v>
      </c>
    </row>
    <row r="421" spans="6:7" x14ac:dyDescent="0.2">
      <c r="F421" s="123">
        <v>14413</v>
      </c>
      <c r="G421" s="123" t="s">
        <v>1456</v>
      </c>
    </row>
    <row r="422" spans="6:7" x14ac:dyDescent="0.2">
      <c r="F422" s="123">
        <v>14415</v>
      </c>
      <c r="G422" s="123" t="s">
        <v>1457</v>
      </c>
    </row>
    <row r="423" spans="6:7" x14ac:dyDescent="0.2">
      <c r="F423" s="123">
        <v>14417</v>
      </c>
      <c r="G423" s="123" t="s">
        <v>1458</v>
      </c>
    </row>
    <row r="424" spans="6:7" x14ac:dyDescent="0.2">
      <c r="F424" s="123">
        <v>14420</v>
      </c>
      <c r="G424" s="123" t="s">
        <v>1459</v>
      </c>
    </row>
    <row r="425" spans="6:7" x14ac:dyDescent="0.2">
      <c r="F425" s="123">
        <v>14424</v>
      </c>
      <c r="G425" s="123" t="s">
        <v>1460</v>
      </c>
    </row>
    <row r="426" spans="6:7" x14ac:dyDescent="0.2">
      <c r="F426" s="123">
        <v>14425</v>
      </c>
      <c r="G426" s="123" t="s">
        <v>1461</v>
      </c>
    </row>
    <row r="427" spans="6:7" x14ac:dyDescent="0.2">
      <c r="F427" s="123">
        <v>14428</v>
      </c>
      <c r="G427" s="123" t="s">
        <v>1462</v>
      </c>
    </row>
    <row r="428" spans="6:7" x14ac:dyDescent="0.2">
      <c r="F428" s="123">
        <v>14429</v>
      </c>
      <c r="G428" s="123" t="s">
        <v>1463</v>
      </c>
    </row>
    <row r="429" spans="6:7" x14ac:dyDescent="0.2">
      <c r="F429" s="123">
        <v>14430</v>
      </c>
      <c r="G429" s="123" t="s">
        <v>1464</v>
      </c>
    </row>
    <row r="430" spans="6:7" x14ac:dyDescent="0.2">
      <c r="F430" s="123">
        <v>14435</v>
      </c>
      <c r="G430" s="123" t="s">
        <v>1465</v>
      </c>
    </row>
    <row r="431" spans="6:7" x14ac:dyDescent="0.2">
      <c r="F431" s="123">
        <v>14446</v>
      </c>
      <c r="G431" s="123" t="s">
        <v>1466</v>
      </c>
    </row>
    <row r="432" spans="6:7" x14ac:dyDescent="0.2">
      <c r="F432" s="123">
        <v>14458</v>
      </c>
      <c r="G432" s="123" t="s">
        <v>1467</v>
      </c>
    </row>
    <row r="433" spans="6:7" x14ac:dyDescent="0.2">
      <c r="F433" s="123">
        <v>14460</v>
      </c>
      <c r="G433" s="123" t="s">
        <v>1468</v>
      </c>
    </row>
    <row r="434" spans="6:7" x14ac:dyDescent="0.2">
      <c r="F434" s="123">
        <v>14482</v>
      </c>
      <c r="G434" s="123" t="s">
        <v>1469</v>
      </c>
    </row>
    <row r="435" spans="6:7" x14ac:dyDescent="0.2">
      <c r="F435" s="123">
        <v>14487</v>
      </c>
      <c r="G435" s="123" t="s">
        <v>1470</v>
      </c>
    </row>
    <row r="436" spans="6:7" x14ac:dyDescent="0.2">
      <c r="F436" s="123">
        <v>14488</v>
      </c>
      <c r="G436" s="123" t="s">
        <v>1471</v>
      </c>
    </row>
    <row r="437" spans="6:7" x14ac:dyDescent="0.2">
      <c r="F437" s="123">
        <v>14512</v>
      </c>
      <c r="G437" s="123" t="s">
        <v>1472</v>
      </c>
    </row>
    <row r="438" spans="6:7" x14ac:dyDescent="0.2">
      <c r="F438" s="123">
        <v>14514</v>
      </c>
      <c r="G438" s="123" t="s">
        <v>1473</v>
      </c>
    </row>
    <row r="439" spans="6:7" x14ac:dyDescent="0.2">
      <c r="F439" s="123">
        <v>14517</v>
      </c>
      <c r="G439" s="123" t="s">
        <v>1474</v>
      </c>
    </row>
    <row r="440" spans="6:7" x14ac:dyDescent="0.2">
      <c r="F440" s="123">
        <v>14519</v>
      </c>
      <c r="G440" s="123" t="s">
        <v>1475</v>
      </c>
    </row>
    <row r="441" spans="6:7" x14ac:dyDescent="0.2">
      <c r="F441" s="123">
        <v>14530</v>
      </c>
      <c r="G441" s="123" t="s">
        <v>1476</v>
      </c>
    </row>
    <row r="442" spans="6:7" x14ac:dyDescent="0.2">
      <c r="F442" s="123">
        <v>14531</v>
      </c>
      <c r="G442" s="123" t="s">
        <v>1477</v>
      </c>
    </row>
    <row r="443" spans="6:7" x14ac:dyDescent="0.2">
      <c r="F443" s="123">
        <v>14532</v>
      </c>
      <c r="G443" s="123" t="s">
        <v>1478</v>
      </c>
    </row>
    <row r="444" spans="6:7" x14ac:dyDescent="0.2">
      <c r="F444" s="123">
        <v>14534</v>
      </c>
      <c r="G444" s="123" t="s">
        <v>1479</v>
      </c>
    </row>
    <row r="445" spans="6:7" x14ac:dyDescent="0.2">
      <c r="F445" s="123">
        <v>14552</v>
      </c>
      <c r="G445" s="123" t="s">
        <v>1480</v>
      </c>
    </row>
    <row r="446" spans="6:7" x14ac:dyDescent="0.2">
      <c r="F446" s="123">
        <v>14553</v>
      </c>
      <c r="G446" s="123" t="s">
        <v>1481</v>
      </c>
    </row>
    <row r="447" spans="6:7" x14ac:dyDescent="0.2">
      <c r="F447" s="123">
        <v>14556</v>
      </c>
      <c r="G447" s="123" t="s">
        <v>1482</v>
      </c>
    </row>
    <row r="448" spans="6:7" x14ac:dyDescent="0.2">
      <c r="F448" s="123">
        <v>14562</v>
      </c>
      <c r="G448" s="123" t="s">
        <v>1483</v>
      </c>
    </row>
    <row r="449" spans="6:7" x14ac:dyDescent="0.2">
      <c r="F449" s="123">
        <v>14564</v>
      </c>
      <c r="G449" s="123" t="s">
        <v>1484</v>
      </c>
    </row>
    <row r="450" spans="6:7" x14ac:dyDescent="0.2">
      <c r="F450" s="123">
        <v>14566</v>
      </c>
      <c r="G450" s="123" t="s">
        <v>1485</v>
      </c>
    </row>
    <row r="451" spans="6:7" x14ac:dyDescent="0.2">
      <c r="F451" s="123">
        <v>14600</v>
      </c>
      <c r="G451" s="123" t="s">
        <v>1486</v>
      </c>
    </row>
    <row r="452" spans="6:7" x14ac:dyDescent="0.2">
      <c r="F452" s="123">
        <v>14611</v>
      </c>
      <c r="G452" s="123" t="s">
        <v>1487</v>
      </c>
    </row>
    <row r="453" spans="6:7" x14ac:dyDescent="0.2">
      <c r="F453" s="123">
        <v>14618</v>
      </c>
      <c r="G453" s="123" t="s">
        <v>1488</v>
      </c>
    </row>
    <row r="454" spans="6:7" x14ac:dyDescent="0.2">
      <c r="F454" s="123">
        <v>14630</v>
      </c>
      <c r="G454" s="123" t="s">
        <v>1489</v>
      </c>
    </row>
    <row r="455" spans="6:7" x14ac:dyDescent="0.2">
      <c r="F455" s="123">
        <v>14639</v>
      </c>
      <c r="G455" s="123" t="s">
        <v>1490</v>
      </c>
    </row>
    <row r="456" spans="6:7" x14ac:dyDescent="0.2">
      <c r="F456" s="123">
        <v>14644</v>
      </c>
      <c r="G456" s="123" t="s">
        <v>1491</v>
      </c>
    </row>
    <row r="457" spans="6:7" x14ac:dyDescent="0.2">
      <c r="F457" s="123">
        <v>14666</v>
      </c>
      <c r="G457" s="123" t="s">
        <v>1492</v>
      </c>
    </row>
    <row r="458" spans="6:7" x14ac:dyDescent="0.2">
      <c r="F458" s="123">
        <v>14717</v>
      </c>
      <c r="G458" s="123" t="s">
        <v>1493</v>
      </c>
    </row>
    <row r="459" spans="6:7" x14ac:dyDescent="0.2">
      <c r="F459" s="123">
        <v>14772</v>
      </c>
      <c r="G459" s="123" t="s">
        <v>1494</v>
      </c>
    </row>
    <row r="460" spans="6:7" x14ac:dyDescent="0.2">
      <c r="F460" s="123">
        <v>14782</v>
      </c>
      <c r="G460" s="123" t="s">
        <v>1495</v>
      </c>
    </row>
    <row r="461" spans="6:7" x14ac:dyDescent="0.2">
      <c r="F461" s="123">
        <v>14814</v>
      </c>
      <c r="G461" s="123" t="s">
        <v>1496</v>
      </c>
    </row>
    <row r="462" spans="6:7" x14ac:dyDescent="0.2">
      <c r="F462" s="123">
        <v>14828</v>
      </c>
      <c r="G462" s="123" t="s">
        <v>1497</v>
      </c>
    </row>
    <row r="463" spans="6:7" x14ac:dyDescent="0.2">
      <c r="F463" s="123">
        <v>14833</v>
      </c>
      <c r="G463" s="123" t="s">
        <v>1498</v>
      </c>
    </row>
    <row r="464" spans="6:7" x14ac:dyDescent="0.2">
      <c r="F464" s="123">
        <v>14854</v>
      </c>
      <c r="G464" s="123" t="s">
        <v>1499</v>
      </c>
    </row>
    <row r="465" spans="6:7" x14ac:dyDescent="0.2">
      <c r="F465" s="123">
        <v>14856</v>
      </c>
      <c r="G465" s="123" t="s">
        <v>1500</v>
      </c>
    </row>
    <row r="466" spans="6:7" x14ac:dyDescent="0.2">
      <c r="F466" s="123">
        <v>14875</v>
      </c>
      <c r="G466" s="123" t="s">
        <v>1501</v>
      </c>
    </row>
    <row r="467" spans="6:7" x14ac:dyDescent="0.2">
      <c r="F467" s="123">
        <v>14883</v>
      </c>
      <c r="G467" s="123" t="s">
        <v>1502</v>
      </c>
    </row>
    <row r="468" spans="6:7" x14ac:dyDescent="0.2">
      <c r="F468" s="123">
        <v>14894</v>
      </c>
      <c r="G468" s="123" t="s">
        <v>1503</v>
      </c>
    </row>
    <row r="469" spans="6:7" x14ac:dyDescent="0.2">
      <c r="F469" s="123">
        <v>14895</v>
      </c>
      <c r="G469" s="123" t="s">
        <v>1504</v>
      </c>
    </row>
    <row r="470" spans="6:7" x14ac:dyDescent="0.2">
      <c r="F470" s="123">
        <v>14905</v>
      </c>
      <c r="G470" s="123" t="s">
        <v>1505</v>
      </c>
    </row>
    <row r="471" spans="6:7" x14ac:dyDescent="0.2">
      <c r="F471" s="123">
        <v>14910</v>
      </c>
      <c r="G471" s="123" t="s">
        <v>1506</v>
      </c>
    </row>
    <row r="472" spans="6:7" x14ac:dyDescent="0.2">
      <c r="F472" s="123">
        <v>14923</v>
      </c>
      <c r="G472" s="123" t="s">
        <v>1507</v>
      </c>
    </row>
    <row r="473" spans="6:7" x14ac:dyDescent="0.2">
      <c r="F473" s="123">
        <v>14938</v>
      </c>
      <c r="G473" s="123" t="s">
        <v>1508</v>
      </c>
    </row>
    <row r="474" spans="6:7" x14ac:dyDescent="0.2">
      <c r="F474" s="123">
        <v>14956</v>
      </c>
      <c r="G474" s="123" t="s">
        <v>1509</v>
      </c>
    </row>
    <row r="475" spans="6:7" x14ac:dyDescent="0.2">
      <c r="F475" s="123">
        <v>14984</v>
      </c>
      <c r="G475" s="123" t="s">
        <v>1510</v>
      </c>
    </row>
    <row r="476" spans="6:7" x14ac:dyDescent="0.2">
      <c r="F476" s="123">
        <v>15005</v>
      </c>
      <c r="G476" s="123" t="s">
        <v>1511</v>
      </c>
    </row>
    <row r="477" spans="6:7" x14ac:dyDescent="0.2">
      <c r="F477" s="123">
        <v>15008</v>
      </c>
      <c r="G477" s="123" t="s">
        <v>1512</v>
      </c>
    </row>
    <row r="478" spans="6:7" x14ac:dyDescent="0.2">
      <c r="F478" s="123">
        <v>15023</v>
      </c>
      <c r="G478" s="123" t="s">
        <v>1513</v>
      </c>
    </row>
    <row r="479" spans="6:7" x14ac:dyDescent="0.2">
      <c r="F479" s="123">
        <v>15031</v>
      </c>
      <c r="G479" s="123" t="s">
        <v>1514</v>
      </c>
    </row>
    <row r="480" spans="6:7" x14ac:dyDescent="0.2">
      <c r="F480" s="123">
        <v>15032</v>
      </c>
      <c r="G480" s="123" t="s">
        <v>1515</v>
      </c>
    </row>
    <row r="481" spans="6:7" x14ac:dyDescent="0.2">
      <c r="F481" s="123">
        <v>15035</v>
      </c>
      <c r="G481" s="123" t="s">
        <v>1516</v>
      </c>
    </row>
    <row r="482" spans="6:7" x14ac:dyDescent="0.2">
      <c r="F482" s="123">
        <v>15111</v>
      </c>
      <c r="G482" s="123" t="s">
        <v>1517</v>
      </c>
    </row>
    <row r="483" spans="6:7" x14ac:dyDescent="0.2">
      <c r="F483" s="123">
        <v>15115</v>
      </c>
      <c r="G483" s="123" t="s">
        <v>1518</v>
      </c>
    </row>
    <row r="484" spans="6:7" x14ac:dyDescent="0.2">
      <c r="F484" s="123">
        <v>15117</v>
      </c>
      <c r="G484" s="123" t="s">
        <v>1519</v>
      </c>
    </row>
    <row r="485" spans="6:7" x14ac:dyDescent="0.2">
      <c r="F485" s="123">
        <v>15123</v>
      </c>
      <c r="G485" s="123" t="s">
        <v>1520</v>
      </c>
    </row>
    <row r="486" spans="6:7" x14ac:dyDescent="0.2">
      <c r="F486" s="123">
        <v>15124</v>
      </c>
      <c r="G486" s="123" t="s">
        <v>1521</v>
      </c>
    </row>
    <row r="487" spans="6:7" x14ac:dyDescent="0.2">
      <c r="F487" s="123">
        <v>15227</v>
      </c>
      <c r="G487" s="123" t="s">
        <v>1522</v>
      </c>
    </row>
    <row r="488" spans="6:7" x14ac:dyDescent="0.2">
      <c r="F488" s="123">
        <v>15233</v>
      </c>
      <c r="G488" s="123" t="s">
        <v>1523</v>
      </c>
    </row>
    <row r="489" spans="6:7" x14ac:dyDescent="0.2">
      <c r="F489" s="123">
        <v>15237</v>
      </c>
      <c r="G489" s="123" t="s">
        <v>1524</v>
      </c>
    </row>
    <row r="490" spans="6:7" x14ac:dyDescent="0.2">
      <c r="F490" s="123">
        <v>15242</v>
      </c>
      <c r="G490" s="123" t="s">
        <v>1525</v>
      </c>
    </row>
    <row r="491" spans="6:7" x14ac:dyDescent="0.2">
      <c r="F491" s="123">
        <v>15243</v>
      </c>
      <c r="G491" s="123" t="s">
        <v>1526</v>
      </c>
    </row>
    <row r="492" spans="6:7" x14ac:dyDescent="0.2">
      <c r="F492" s="123">
        <v>15255</v>
      </c>
      <c r="G492" s="123" t="s">
        <v>1527</v>
      </c>
    </row>
    <row r="493" spans="6:7" x14ac:dyDescent="0.2">
      <c r="F493" s="123">
        <v>15276</v>
      </c>
      <c r="G493" s="123" t="s">
        <v>1528</v>
      </c>
    </row>
    <row r="494" spans="6:7" x14ac:dyDescent="0.2">
      <c r="F494" s="123">
        <v>15280</v>
      </c>
      <c r="G494" s="123" t="s">
        <v>1529</v>
      </c>
    </row>
    <row r="495" spans="6:7" x14ac:dyDescent="0.2">
      <c r="F495" s="123">
        <v>15328</v>
      </c>
      <c r="G495" s="123" t="s">
        <v>1530</v>
      </c>
    </row>
    <row r="496" spans="6:7" x14ac:dyDescent="0.2">
      <c r="F496" s="123">
        <v>15486</v>
      </c>
      <c r="G496" s="123" t="s">
        <v>1531</v>
      </c>
    </row>
    <row r="497" spans="6:7" x14ac:dyDescent="0.2">
      <c r="F497" s="123">
        <v>15548</v>
      </c>
      <c r="G497" s="123" t="s">
        <v>1532</v>
      </c>
    </row>
    <row r="498" spans="6:7" x14ac:dyDescent="0.2">
      <c r="F498" s="123">
        <v>15700</v>
      </c>
      <c r="G498" s="123" t="s">
        <v>1533</v>
      </c>
    </row>
    <row r="499" spans="6:7" x14ac:dyDescent="0.2">
      <c r="F499" s="123">
        <v>15899</v>
      </c>
      <c r="G499" s="123" t="s">
        <v>1534</v>
      </c>
    </row>
    <row r="500" spans="6:7" x14ac:dyDescent="0.2">
      <c r="F500" s="123">
        <v>15984</v>
      </c>
      <c r="G500" s="123" t="s">
        <v>1535</v>
      </c>
    </row>
    <row r="501" spans="6:7" x14ac:dyDescent="0.2">
      <c r="F501" s="123">
        <v>16673</v>
      </c>
      <c r="G501" s="123" t="s">
        <v>1536</v>
      </c>
    </row>
    <row r="502" spans="6:7" x14ac:dyDescent="0.2">
      <c r="F502" s="123">
        <v>16769</v>
      </c>
      <c r="G502" s="123" t="s">
        <v>1537</v>
      </c>
    </row>
    <row r="503" spans="6:7" x14ac:dyDescent="0.2">
      <c r="F503" s="123">
        <v>16770</v>
      </c>
      <c r="G503" s="123" t="s">
        <v>1538</v>
      </c>
    </row>
    <row r="504" spans="6:7" x14ac:dyDescent="0.2">
      <c r="F504" s="123">
        <v>16779</v>
      </c>
      <c r="G504" s="123" t="s">
        <v>1539</v>
      </c>
    </row>
    <row r="505" spans="6:7" x14ac:dyDescent="0.2">
      <c r="F505" s="123">
        <v>16851</v>
      </c>
      <c r="G505" s="123" t="s">
        <v>1540</v>
      </c>
    </row>
    <row r="506" spans="6:7" x14ac:dyDescent="0.2">
      <c r="F506" s="123">
        <v>16858</v>
      </c>
      <c r="G506" s="123" t="s">
        <v>1541</v>
      </c>
    </row>
    <row r="507" spans="6:7" x14ac:dyDescent="0.2">
      <c r="F507" s="123">
        <v>16880</v>
      </c>
      <c r="G507" s="123" t="s">
        <v>1542</v>
      </c>
    </row>
    <row r="508" spans="6:7" x14ac:dyDescent="0.2">
      <c r="F508" s="123">
        <v>16890</v>
      </c>
      <c r="G508" s="123" t="s">
        <v>1543</v>
      </c>
    </row>
    <row r="509" spans="6:7" x14ac:dyDescent="0.2">
      <c r="F509" s="123">
        <v>16919</v>
      </c>
      <c r="G509" s="123" t="s">
        <v>1544</v>
      </c>
    </row>
    <row r="510" spans="6:7" x14ac:dyDescent="0.2">
      <c r="F510" s="123">
        <v>16925</v>
      </c>
      <c r="G510" s="123" t="s">
        <v>1545</v>
      </c>
    </row>
    <row r="511" spans="6:7" x14ac:dyDescent="0.2">
      <c r="F511" s="123">
        <v>16934</v>
      </c>
      <c r="G511" s="123" t="s">
        <v>1546</v>
      </c>
    </row>
    <row r="512" spans="6:7" x14ac:dyDescent="0.2">
      <c r="F512" s="123">
        <v>16947</v>
      </c>
      <c r="G512" s="123" t="s">
        <v>1547</v>
      </c>
    </row>
    <row r="513" spans="6:7" x14ac:dyDescent="0.2">
      <c r="F513" s="123">
        <v>16949</v>
      </c>
      <c r="G513" s="123" t="s">
        <v>1548</v>
      </c>
    </row>
    <row r="514" spans="6:7" x14ac:dyDescent="0.2">
      <c r="F514" s="123">
        <v>16950</v>
      </c>
      <c r="G514" s="123" t="s">
        <v>1549</v>
      </c>
    </row>
    <row r="515" spans="6:7" x14ac:dyDescent="0.2">
      <c r="F515" s="123">
        <v>16952</v>
      </c>
      <c r="G515" s="123" t="s">
        <v>1550</v>
      </c>
    </row>
    <row r="516" spans="6:7" x14ac:dyDescent="0.2">
      <c r="F516" s="123">
        <v>16955</v>
      </c>
      <c r="G516" s="123" t="s">
        <v>1551</v>
      </c>
    </row>
    <row r="517" spans="6:7" x14ac:dyDescent="0.2">
      <c r="F517" s="123">
        <v>16958</v>
      </c>
      <c r="G517" s="123" t="s">
        <v>1552</v>
      </c>
    </row>
    <row r="518" spans="6:7" x14ac:dyDescent="0.2">
      <c r="F518" s="123">
        <v>16962</v>
      </c>
      <c r="G518" s="123" t="s">
        <v>1553</v>
      </c>
    </row>
    <row r="519" spans="6:7" x14ac:dyDescent="0.2">
      <c r="F519" s="123">
        <v>16964</v>
      </c>
      <c r="G519" s="123" t="s">
        <v>1554</v>
      </c>
    </row>
    <row r="520" spans="6:7" x14ac:dyDescent="0.2">
      <c r="F520" s="123">
        <v>16965</v>
      </c>
      <c r="G520" s="123" t="s">
        <v>1555</v>
      </c>
    </row>
    <row r="521" spans="6:7" x14ac:dyDescent="0.2">
      <c r="F521" s="123">
        <v>16966</v>
      </c>
      <c r="G521" s="123" t="s">
        <v>1556</v>
      </c>
    </row>
    <row r="522" spans="6:7" x14ac:dyDescent="0.2">
      <c r="F522" s="123">
        <v>16971</v>
      </c>
      <c r="G522" s="123" t="s">
        <v>1557</v>
      </c>
    </row>
    <row r="523" spans="6:7" x14ac:dyDescent="0.2">
      <c r="F523" s="123">
        <v>16973</v>
      </c>
      <c r="G523" s="123" t="s">
        <v>1558</v>
      </c>
    </row>
    <row r="524" spans="6:7" x14ac:dyDescent="0.2">
      <c r="F524" s="123">
        <v>16975</v>
      </c>
      <c r="G524" s="123" t="s">
        <v>1559</v>
      </c>
    </row>
    <row r="525" spans="6:7" x14ac:dyDescent="0.2">
      <c r="F525" s="123">
        <v>16977</v>
      </c>
      <c r="G525" s="123" t="s">
        <v>1560</v>
      </c>
    </row>
    <row r="526" spans="6:7" x14ac:dyDescent="0.2">
      <c r="F526" s="123">
        <v>16978</v>
      </c>
      <c r="G526" s="123" t="s">
        <v>1561</v>
      </c>
    </row>
    <row r="527" spans="6:7" x14ac:dyDescent="0.2">
      <c r="F527" s="123">
        <v>16985</v>
      </c>
      <c r="G527" s="123" t="s">
        <v>1562</v>
      </c>
    </row>
    <row r="528" spans="6:7" x14ac:dyDescent="0.2">
      <c r="F528" s="123">
        <v>16987</v>
      </c>
      <c r="G528" s="123" t="s">
        <v>1563</v>
      </c>
    </row>
    <row r="529" spans="6:7" x14ac:dyDescent="0.2">
      <c r="F529" s="123">
        <v>17006</v>
      </c>
      <c r="G529" s="123" t="s">
        <v>1564</v>
      </c>
    </row>
    <row r="530" spans="6:7" x14ac:dyDescent="0.2">
      <c r="F530" s="123">
        <v>17049</v>
      </c>
      <c r="G530" s="123" t="s">
        <v>1565</v>
      </c>
    </row>
    <row r="531" spans="6:7" x14ac:dyDescent="0.2">
      <c r="F531" s="123">
        <v>17055</v>
      </c>
      <c r="G531" s="123" t="s">
        <v>1566</v>
      </c>
    </row>
    <row r="532" spans="6:7" x14ac:dyDescent="0.2">
      <c r="F532" s="123">
        <v>17069</v>
      </c>
      <c r="G532" s="123" t="s">
        <v>1567</v>
      </c>
    </row>
    <row r="533" spans="6:7" x14ac:dyDescent="0.2">
      <c r="F533" s="123">
        <v>17078</v>
      </c>
      <c r="G533" s="123" t="s">
        <v>1568</v>
      </c>
    </row>
    <row r="534" spans="6:7" x14ac:dyDescent="0.2">
      <c r="F534" s="123">
        <v>17079</v>
      </c>
      <c r="G534" s="123" t="s">
        <v>1569</v>
      </c>
    </row>
    <row r="535" spans="6:7" x14ac:dyDescent="0.2">
      <c r="F535" s="123">
        <v>17083</v>
      </c>
      <c r="G535" s="123" t="s">
        <v>1570</v>
      </c>
    </row>
    <row r="536" spans="6:7" x14ac:dyDescent="0.2">
      <c r="F536" s="123">
        <v>17097</v>
      </c>
      <c r="G536" s="123" t="s">
        <v>1571</v>
      </c>
    </row>
    <row r="537" spans="6:7" x14ac:dyDescent="0.2">
      <c r="F537" s="123">
        <v>17100</v>
      </c>
      <c r="G537" s="123" t="s">
        <v>1572</v>
      </c>
    </row>
    <row r="538" spans="6:7" x14ac:dyDescent="0.2">
      <c r="F538" s="123">
        <v>17110</v>
      </c>
      <c r="G538" s="123" t="s">
        <v>1573</v>
      </c>
    </row>
    <row r="539" spans="6:7" x14ac:dyDescent="0.2">
      <c r="F539" s="123">
        <v>17113</v>
      </c>
      <c r="G539" s="123" t="s">
        <v>1574</v>
      </c>
    </row>
    <row r="540" spans="6:7" x14ac:dyDescent="0.2">
      <c r="F540" s="123">
        <v>17117</v>
      </c>
      <c r="G540" s="123" t="s">
        <v>1575</v>
      </c>
    </row>
    <row r="541" spans="6:7" x14ac:dyDescent="0.2">
      <c r="F541" s="123">
        <v>17120</v>
      </c>
      <c r="G541" s="123" t="s">
        <v>1576</v>
      </c>
    </row>
    <row r="542" spans="6:7" x14ac:dyDescent="0.2">
      <c r="F542" s="123">
        <v>17123</v>
      </c>
      <c r="G542" s="123" t="s">
        <v>1577</v>
      </c>
    </row>
    <row r="543" spans="6:7" x14ac:dyDescent="0.2">
      <c r="F543" s="123">
        <v>17124</v>
      </c>
      <c r="G543" s="123" t="s">
        <v>1578</v>
      </c>
    </row>
    <row r="544" spans="6:7" x14ac:dyDescent="0.2">
      <c r="F544" s="123">
        <v>17126</v>
      </c>
      <c r="G544" s="123" t="s">
        <v>1579</v>
      </c>
    </row>
    <row r="545" spans="6:7" x14ac:dyDescent="0.2">
      <c r="F545" s="123">
        <v>17134</v>
      </c>
      <c r="G545" s="123" t="s">
        <v>1580</v>
      </c>
    </row>
    <row r="546" spans="6:7" x14ac:dyDescent="0.2">
      <c r="F546" s="123">
        <v>17138</v>
      </c>
      <c r="G546" s="123" t="s">
        <v>1581</v>
      </c>
    </row>
    <row r="547" spans="6:7" x14ac:dyDescent="0.2">
      <c r="F547" s="123">
        <v>17139</v>
      </c>
      <c r="G547" s="123" t="s">
        <v>1582</v>
      </c>
    </row>
    <row r="548" spans="6:7" x14ac:dyDescent="0.2">
      <c r="F548" s="123">
        <v>17146</v>
      </c>
      <c r="G548" s="123" t="s">
        <v>1583</v>
      </c>
    </row>
    <row r="549" spans="6:7" x14ac:dyDescent="0.2">
      <c r="F549" s="123">
        <v>17151</v>
      </c>
      <c r="G549" s="123" t="s">
        <v>1584</v>
      </c>
    </row>
    <row r="550" spans="6:7" x14ac:dyDescent="0.2">
      <c r="F550" s="123">
        <v>17159</v>
      </c>
      <c r="G550" s="123" t="s">
        <v>1585</v>
      </c>
    </row>
    <row r="551" spans="6:7" x14ac:dyDescent="0.2">
      <c r="F551" s="123">
        <v>17160</v>
      </c>
      <c r="G551" s="123" t="s">
        <v>1586</v>
      </c>
    </row>
    <row r="552" spans="6:7" x14ac:dyDescent="0.2">
      <c r="F552" s="123">
        <v>17168</v>
      </c>
      <c r="G552" s="123" t="s">
        <v>1587</v>
      </c>
    </row>
    <row r="553" spans="6:7" x14ac:dyDescent="0.2">
      <c r="F553" s="123">
        <v>17169</v>
      </c>
      <c r="G553" s="123" t="s">
        <v>1588</v>
      </c>
    </row>
    <row r="554" spans="6:7" x14ac:dyDescent="0.2">
      <c r="F554" s="123">
        <v>17183</v>
      </c>
      <c r="G554" s="123" t="s">
        <v>1589</v>
      </c>
    </row>
    <row r="555" spans="6:7" x14ac:dyDescent="0.2">
      <c r="F555" s="123">
        <v>17184</v>
      </c>
      <c r="G555" s="123" t="s">
        <v>1590</v>
      </c>
    </row>
    <row r="556" spans="6:7" x14ac:dyDescent="0.2">
      <c r="F556" s="123">
        <v>17185</v>
      </c>
      <c r="G556" s="123" t="s">
        <v>1591</v>
      </c>
    </row>
    <row r="557" spans="6:7" x14ac:dyDescent="0.2">
      <c r="F557" s="123">
        <v>17188</v>
      </c>
      <c r="G557" s="123" t="s">
        <v>1592</v>
      </c>
    </row>
    <row r="558" spans="6:7" x14ac:dyDescent="0.2">
      <c r="F558" s="123">
        <v>17193</v>
      </c>
      <c r="G558" s="123" t="s">
        <v>1593</v>
      </c>
    </row>
    <row r="559" spans="6:7" x14ac:dyDescent="0.2">
      <c r="F559" s="123">
        <v>17194</v>
      </c>
      <c r="G559" s="123" t="s">
        <v>1594</v>
      </c>
    </row>
    <row r="560" spans="6:7" x14ac:dyDescent="0.2">
      <c r="F560" s="123">
        <v>17198</v>
      </c>
      <c r="G560" s="123" t="s">
        <v>1595</v>
      </c>
    </row>
    <row r="561" spans="6:7" x14ac:dyDescent="0.2">
      <c r="F561" s="123">
        <v>17199</v>
      </c>
      <c r="G561" s="123" t="s">
        <v>1596</v>
      </c>
    </row>
    <row r="562" spans="6:7" x14ac:dyDescent="0.2">
      <c r="F562" s="123">
        <v>17206</v>
      </c>
      <c r="G562" s="123" t="s">
        <v>1597</v>
      </c>
    </row>
    <row r="563" spans="6:7" x14ac:dyDescent="0.2">
      <c r="F563" s="123">
        <v>17209</v>
      </c>
      <c r="G563" s="123" t="s">
        <v>1598</v>
      </c>
    </row>
    <row r="564" spans="6:7" x14ac:dyDescent="0.2">
      <c r="F564" s="123">
        <v>17229</v>
      </c>
      <c r="G564" s="123" t="s">
        <v>1599</v>
      </c>
    </row>
    <row r="565" spans="6:7" x14ac:dyDescent="0.2">
      <c r="F565" s="123">
        <v>17231</v>
      </c>
      <c r="G565" s="123" t="s">
        <v>1600</v>
      </c>
    </row>
    <row r="566" spans="6:7" x14ac:dyDescent="0.2">
      <c r="F566" s="123">
        <v>17232</v>
      </c>
      <c r="G566" s="123" t="s">
        <v>1601</v>
      </c>
    </row>
    <row r="567" spans="6:7" x14ac:dyDescent="0.2">
      <c r="F567" s="123">
        <v>17233</v>
      </c>
      <c r="G567" s="123" t="s">
        <v>1602</v>
      </c>
    </row>
    <row r="568" spans="6:7" x14ac:dyDescent="0.2">
      <c r="F568" s="123">
        <v>17235</v>
      </c>
      <c r="G568" s="123" t="s">
        <v>1603</v>
      </c>
    </row>
    <row r="569" spans="6:7" x14ac:dyDescent="0.2">
      <c r="F569" s="123">
        <v>17236</v>
      </c>
      <c r="G569" s="123" t="s">
        <v>1604</v>
      </c>
    </row>
    <row r="570" spans="6:7" x14ac:dyDescent="0.2">
      <c r="F570" s="123">
        <v>17241</v>
      </c>
      <c r="G570" s="123" t="s">
        <v>1605</v>
      </c>
    </row>
    <row r="571" spans="6:7" x14ac:dyDescent="0.2">
      <c r="F571" s="123">
        <v>17244</v>
      </c>
      <c r="G571" s="123" t="s">
        <v>1606</v>
      </c>
    </row>
    <row r="572" spans="6:7" x14ac:dyDescent="0.2">
      <c r="F572" s="123">
        <v>17255</v>
      </c>
      <c r="G572" s="123" t="s">
        <v>1607</v>
      </c>
    </row>
    <row r="573" spans="6:7" x14ac:dyDescent="0.2">
      <c r="F573" s="123">
        <v>17258</v>
      </c>
      <c r="G573" s="123" t="s">
        <v>1608</v>
      </c>
    </row>
    <row r="574" spans="6:7" x14ac:dyDescent="0.2">
      <c r="F574" s="123">
        <v>17268</v>
      </c>
      <c r="G574" s="123" t="s">
        <v>1609</v>
      </c>
    </row>
    <row r="575" spans="6:7" x14ac:dyDescent="0.2">
      <c r="F575" s="123">
        <v>17287</v>
      </c>
      <c r="G575" s="123" t="s">
        <v>1610</v>
      </c>
    </row>
    <row r="576" spans="6:7" x14ac:dyDescent="0.2">
      <c r="F576" s="123">
        <v>17291</v>
      </c>
      <c r="G576" s="123" t="s">
        <v>1611</v>
      </c>
    </row>
    <row r="577" spans="6:7" x14ac:dyDescent="0.2">
      <c r="F577" s="123">
        <v>17297</v>
      </c>
      <c r="G577" s="123" t="s">
        <v>1612</v>
      </c>
    </row>
    <row r="578" spans="6:7" x14ac:dyDescent="0.2">
      <c r="F578" s="123">
        <v>17312</v>
      </c>
      <c r="G578" s="123" t="s">
        <v>1613</v>
      </c>
    </row>
    <row r="579" spans="6:7" x14ac:dyDescent="0.2">
      <c r="F579" s="123">
        <v>17314</v>
      </c>
      <c r="G579" s="123" t="s">
        <v>1614</v>
      </c>
    </row>
    <row r="580" spans="6:7" x14ac:dyDescent="0.2">
      <c r="F580" s="123">
        <v>17321</v>
      </c>
      <c r="G580" s="123" t="s">
        <v>1615</v>
      </c>
    </row>
    <row r="581" spans="6:7" x14ac:dyDescent="0.2">
      <c r="F581" s="123">
        <v>17328</v>
      </c>
      <c r="G581" s="123" t="s">
        <v>1616</v>
      </c>
    </row>
    <row r="582" spans="6:7" x14ac:dyDescent="0.2">
      <c r="F582" s="123">
        <v>17336</v>
      </c>
      <c r="G582" s="123" t="s">
        <v>1617</v>
      </c>
    </row>
    <row r="583" spans="6:7" x14ac:dyDescent="0.2">
      <c r="F583" s="123">
        <v>17337</v>
      </c>
      <c r="G583" s="123" t="s">
        <v>1618</v>
      </c>
    </row>
    <row r="584" spans="6:7" x14ac:dyDescent="0.2">
      <c r="F584" s="123">
        <v>17340</v>
      </c>
      <c r="G584" s="123" t="s">
        <v>1619</v>
      </c>
    </row>
    <row r="585" spans="6:7" x14ac:dyDescent="0.2">
      <c r="F585" s="123">
        <v>17344</v>
      </c>
      <c r="G585" s="123" t="s">
        <v>1620</v>
      </c>
    </row>
    <row r="586" spans="6:7" x14ac:dyDescent="0.2">
      <c r="F586" s="123">
        <v>17350</v>
      </c>
      <c r="G586" s="123" t="s">
        <v>1621</v>
      </c>
    </row>
    <row r="587" spans="6:7" x14ac:dyDescent="0.2">
      <c r="F587" s="123">
        <v>17351</v>
      </c>
      <c r="G587" s="123" t="s">
        <v>1622</v>
      </c>
    </row>
    <row r="588" spans="6:7" x14ac:dyDescent="0.2">
      <c r="F588" s="123">
        <v>17355</v>
      </c>
      <c r="G588" s="123" t="s">
        <v>1623</v>
      </c>
    </row>
    <row r="589" spans="6:7" x14ac:dyDescent="0.2">
      <c r="F589" s="123">
        <v>17357</v>
      </c>
      <c r="G589" s="123" t="s">
        <v>1624</v>
      </c>
    </row>
    <row r="590" spans="6:7" x14ac:dyDescent="0.2">
      <c r="F590" s="123">
        <v>17362</v>
      </c>
      <c r="G590" s="123" t="s">
        <v>1625</v>
      </c>
    </row>
    <row r="591" spans="6:7" x14ac:dyDescent="0.2">
      <c r="F591" s="123">
        <v>17363</v>
      </c>
      <c r="G591" s="123" t="s">
        <v>1626</v>
      </c>
    </row>
    <row r="592" spans="6:7" x14ac:dyDescent="0.2">
      <c r="F592" s="123">
        <v>17364</v>
      </c>
      <c r="G592" s="123" t="s">
        <v>1627</v>
      </c>
    </row>
    <row r="593" spans="6:7" x14ac:dyDescent="0.2">
      <c r="F593" s="123">
        <v>17366</v>
      </c>
      <c r="G593" s="123" t="s">
        <v>1628</v>
      </c>
    </row>
    <row r="594" spans="6:7" x14ac:dyDescent="0.2">
      <c r="F594" s="123">
        <v>17369</v>
      </c>
      <c r="G594" s="123" t="s">
        <v>1629</v>
      </c>
    </row>
    <row r="595" spans="6:7" x14ac:dyDescent="0.2">
      <c r="F595" s="123">
        <v>17370</v>
      </c>
      <c r="G595" s="123" t="s">
        <v>1630</v>
      </c>
    </row>
    <row r="596" spans="6:7" x14ac:dyDescent="0.2">
      <c r="F596" s="123">
        <v>17372</v>
      </c>
      <c r="G596" s="123" t="s">
        <v>1631</v>
      </c>
    </row>
    <row r="597" spans="6:7" x14ac:dyDescent="0.2">
      <c r="F597" s="123">
        <v>17373</v>
      </c>
      <c r="G597" s="123" t="s">
        <v>1632</v>
      </c>
    </row>
    <row r="598" spans="6:7" x14ac:dyDescent="0.2">
      <c r="F598" s="123">
        <v>17374</v>
      </c>
      <c r="G598" s="123" t="s">
        <v>1633</v>
      </c>
    </row>
    <row r="599" spans="6:7" x14ac:dyDescent="0.2">
      <c r="F599" s="123">
        <v>17375</v>
      </c>
      <c r="G599" s="123" t="s">
        <v>1634</v>
      </c>
    </row>
    <row r="600" spans="6:7" x14ac:dyDescent="0.2">
      <c r="F600" s="123">
        <v>17376</v>
      </c>
      <c r="G600" s="123" t="s">
        <v>1635</v>
      </c>
    </row>
    <row r="601" spans="6:7" x14ac:dyDescent="0.2">
      <c r="F601" s="123">
        <v>17379</v>
      </c>
      <c r="G601" s="123" t="s">
        <v>1636</v>
      </c>
    </row>
    <row r="602" spans="6:7" x14ac:dyDescent="0.2">
      <c r="F602" s="123">
        <v>17380</v>
      </c>
      <c r="G602" s="123" t="s">
        <v>1637</v>
      </c>
    </row>
    <row r="603" spans="6:7" x14ac:dyDescent="0.2">
      <c r="F603" s="123">
        <v>17381</v>
      </c>
      <c r="G603" s="123" t="s">
        <v>1638</v>
      </c>
    </row>
    <row r="604" spans="6:7" x14ac:dyDescent="0.2">
      <c r="F604" s="123">
        <v>17383</v>
      </c>
      <c r="G604" s="123" t="s">
        <v>1639</v>
      </c>
    </row>
    <row r="605" spans="6:7" x14ac:dyDescent="0.2">
      <c r="F605" s="123">
        <v>17386</v>
      </c>
      <c r="G605" s="123" t="s">
        <v>1640</v>
      </c>
    </row>
    <row r="606" spans="6:7" x14ac:dyDescent="0.2">
      <c r="F606" s="123">
        <v>17388</v>
      </c>
      <c r="G606" s="123" t="s">
        <v>1641</v>
      </c>
    </row>
    <row r="607" spans="6:7" x14ac:dyDescent="0.2">
      <c r="F607" s="123">
        <v>17394</v>
      </c>
      <c r="G607" s="123" t="s">
        <v>1642</v>
      </c>
    </row>
    <row r="608" spans="6:7" x14ac:dyDescent="0.2">
      <c r="F608" s="123">
        <v>17396</v>
      </c>
      <c r="G608" s="123" t="s">
        <v>1643</v>
      </c>
    </row>
    <row r="609" spans="6:7" x14ac:dyDescent="0.2">
      <c r="F609" s="123">
        <v>17397</v>
      </c>
      <c r="G609" s="123" t="s">
        <v>1644</v>
      </c>
    </row>
    <row r="610" spans="6:7" x14ac:dyDescent="0.2">
      <c r="F610" s="123">
        <v>17399</v>
      </c>
      <c r="G610" s="123" t="s">
        <v>1645</v>
      </c>
    </row>
    <row r="611" spans="6:7" x14ac:dyDescent="0.2">
      <c r="F611" s="123">
        <v>17400</v>
      </c>
      <c r="G611" s="123" t="s">
        <v>1646</v>
      </c>
    </row>
    <row r="612" spans="6:7" x14ac:dyDescent="0.2">
      <c r="F612" s="123">
        <v>17402</v>
      </c>
      <c r="G612" s="123" t="s">
        <v>1647</v>
      </c>
    </row>
    <row r="613" spans="6:7" x14ac:dyDescent="0.2">
      <c r="F613" s="123">
        <v>17403</v>
      </c>
      <c r="G613" s="123" t="s">
        <v>1648</v>
      </c>
    </row>
    <row r="614" spans="6:7" x14ac:dyDescent="0.2">
      <c r="F614" s="123">
        <v>17407</v>
      </c>
      <c r="G614" s="123" t="s">
        <v>1649</v>
      </c>
    </row>
    <row r="615" spans="6:7" x14ac:dyDescent="0.2">
      <c r="F615" s="123">
        <v>17410</v>
      </c>
      <c r="G615" s="123" t="s">
        <v>1650</v>
      </c>
    </row>
    <row r="616" spans="6:7" x14ac:dyDescent="0.2">
      <c r="F616" s="123">
        <v>17412</v>
      </c>
      <c r="G616" s="123" t="s">
        <v>1651</v>
      </c>
    </row>
    <row r="617" spans="6:7" x14ac:dyDescent="0.2">
      <c r="F617" s="123">
        <v>17414</v>
      </c>
      <c r="G617" s="123" t="s">
        <v>1652</v>
      </c>
    </row>
    <row r="618" spans="6:7" x14ac:dyDescent="0.2">
      <c r="F618" s="123">
        <v>17415</v>
      </c>
      <c r="G618" s="123" t="s">
        <v>1653</v>
      </c>
    </row>
    <row r="619" spans="6:7" x14ac:dyDescent="0.2">
      <c r="F619" s="123">
        <v>17416</v>
      </c>
      <c r="G619" s="123" t="s">
        <v>1654</v>
      </c>
    </row>
    <row r="620" spans="6:7" x14ac:dyDescent="0.2">
      <c r="F620" s="123">
        <v>17422</v>
      </c>
      <c r="G620" s="123" t="s">
        <v>1655</v>
      </c>
    </row>
    <row r="621" spans="6:7" x14ac:dyDescent="0.2">
      <c r="F621" s="123">
        <v>17423</v>
      </c>
      <c r="G621" s="123" t="s">
        <v>1656</v>
      </c>
    </row>
    <row r="622" spans="6:7" x14ac:dyDescent="0.2">
      <c r="F622" s="123">
        <v>17424</v>
      </c>
      <c r="G622" s="123" t="s">
        <v>1657</v>
      </c>
    </row>
    <row r="623" spans="6:7" x14ac:dyDescent="0.2">
      <c r="F623" s="123">
        <v>17426</v>
      </c>
      <c r="G623" s="123" t="s">
        <v>1658</v>
      </c>
    </row>
    <row r="624" spans="6:7" x14ac:dyDescent="0.2">
      <c r="F624" s="123">
        <v>17427</v>
      </c>
      <c r="G624" s="123" t="s">
        <v>1659</v>
      </c>
    </row>
    <row r="625" spans="6:7" x14ac:dyDescent="0.2">
      <c r="F625" s="123">
        <v>17428</v>
      </c>
      <c r="G625" s="123" t="s">
        <v>1660</v>
      </c>
    </row>
    <row r="626" spans="6:7" x14ac:dyDescent="0.2">
      <c r="F626" s="123">
        <v>17429</v>
      </c>
      <c r="G626" s="123" t="s">
        <v>1661</v>
      </c>
    </row>
    <row r="627" spans="6:7" x14ac:dyDescent="0.2">
      <c r="F627" s="123">
        <v>17430</v>
      </c>
      <c r="G627" s="123" t="s">
        <v>1662</v>
      </c>
    </row>
    <row r="628" spans="6:7" x14ac:dyDescent="0.2">
      <c r="F628" s="123">
        <v>17431</v>
      </c>
      <c r="G628" s="123" t="s">
        <v>1663</v>
      </c>
    </row>
    <row r="629" spans="6:7" x14ac:dyDescent="0.2">
      <c r="F629" s="123">
        <v>17432</v>
      </c>
      <c r="G629" s="123" t="s">
        <v>1664</v>
      </c>
    </row>
    <row r="630" spans="6:7" x14ac:dyDescent="0.2">
      <c r="F630" s="123">
        <v>17434</v>
      </c>
      <c r="G630" s="123" t="s">
        <v>1665</v>
      </c>
    </row>
    <row r="631" spans="6:7" x14ac:dyDescent="0.2">
      <c r="F631" s="123">
        <v>17435</v>
      </c>
      <c r="G631" s="123" t="s">
        <v>1666</v>
      </c>
    </row>
    <row r="632" spans="6:7" x14ac:dyDescent="0.2">
      <c r="F632" s="123">
        <v>17436</v>
      </c>
      <c r="G632" s="123" t="s">
        <v>1667</v>
      </c>
    </row>
    <row r="633" spans="6:7" x14ac:dyDescent="0.2">
      <c r="F633" s="123">
        <v>17437</v>
      </c>
      <c r="G633" s="123" t="s">
        <v>1668</v>
      </c>
    </row>
    <row r="634" spans="6:7" x14ac:dyDescent="0.2">
      <c r="F634" s="123">
        <v>17441</v>
      </c>
      <c r="G634" s="123" t="s">
        <v>1669</v>
      </c>
    </row>
    <row r="635" spans="6:7" x14ac:dyDescent="0.2">
      <c r="F635" s="123">
        <v>17442</v>
      </c>
      <c r="G635" s="123" t="s">
        <v>1670</v>
      </c>
    </row>
    <row r="636" spans="6:7" x14ac:dyDescent="0.2">
      <c r="F636" s="123">
        <v>17445</v>
      </c>
      <c r="G636" s="123" t="s">
        <v>1671</v>
      </c>
    </row>
    <row r="637" spans="6:7" x14ac:dyDescent="0.2">
      <c r="F637" s="123">
        <v>17446</v>
      </c>
      <c r="G637" s="123" t="s">
        <v>1672</v>
      </c>
    </row>
    <row r="638" spans="6:7" x14ac:dyDescent="0.2">
      <c r="F638" s="123">
        <v>17448</v>
      </c>
      <c r="G638" s="123" t="s">
        <v>1673</v>
      </c>
    </row>
    <row r="639" spans="6:7" x14ac:dyDescent="0.2">
      <c r="F639" s="123">
        <v>17449</v>
      </c>
      <c r="G639" s="123" t="s">
        <v>1674</v>
      </c>
    </row>
    <row r="640" spans="6:7" x14ac:dyDescent="0.2">
      <c r="F640" s="123">
        <v>17451</v>
      </c>
      <c r="G640" s="123" t="s">
        <v>1675</v>
      </c>
    </row>
    <row r="641" spans="6:7" x14ac:dyDescent="0.2">
      <c r="F641" s="123">
        <v>17452</v>
      </c>
      <c r="G641" s="123" t="s">
        <v>1676</v>
      </c>
    </row>
    <row r="642" spans="6:7" x14ac:dyDescent="0.2">
      <c r="F642" s="123">
        <v>17454</v>
      </c>
      <c r="G642" s="123" t="s">
        <v>1677</v>
      </c>
    </row>
    <row r="643" spans="6:7" x14ac:dyDescent="0.2">
      <c r="F643" s="123">
        <v>17455</v>
      </c>
      <c r="G643" s="123" t="s">
        <v>1678</v>
      </c>
    </row>
    <row r="644" spans="6:7" x14ac:dyDescent="0.2">
      <c r="F644" s="123">
        <v>17459</v>
      </c>
      <c r="G644" s="123" t="s">
        <v>1679</v>
      </c>
    </row>
    <row r="645" spans="6:7" x14ac:dyDescent="0.2">
      <c r="F645" s="123">
        <v>17460</v>
      </c>
      <c r="G645" s="123" t="s">
        <v>1680</v>
      </c>
    </row>
    <row r="646" spans="6:7" x14ac:dyDescent="0.2">
      <c r="F646" s="123">
        <v>17464</v>
      </c>
      <c r="G646" s="123" t="s">
        <v>1681</v>
      </c>
    </row>
    <row r="647" spans="6:7" x14ac:dyDescent="0.2">
      <c r="F647" s="123">
        <v>17466</v>
      </c>
      <c r="G647" s="123" t="s">
        <v>1682</v>
      </c>
    </row>
    <row r="648" spans="6:7" x14ac:dyDescent="0.2">
      <c r="F648" s="123">
        <v>17467</v>
      </c>
      <c r="G648" s="123" t="s">
        <v>1683</v>
      </c>
    </row>
    <row r="649" spans="6:7" x14ac:dyDescent="0.2">
      <c r="F649" s="123">
        <v>17470</v>
      </c>
      <c r="G649" s="123" t="s">
        <v>1684</v>
      </c>
    </row>
    <row r="650" spans="6:7" x14ac:dyDescent="0.2">
      <c r="F650" s="123">
        <v>17471</v>
      </c>
      <c r="G650" s="123" t="s">
        <v>1685</v>
      </c>
    </row>
    <row r="651" spans="6:7" x14ac:dyDescent="0.2">
      <c r="F651" s="123">
        <v>17472</v>
      </c>
      <c r="G651" s="123" t="s">
        <v>1686</v>
      </c>
    </row>
    <row r="652" spans="6:7" x14ac:dyDescent="0.2">
      <c r="F652" s="123">
        <v>17473</v>
      </c>
      <c r="G652" s="123" t="s">
        <v>1687</v>
      </c>
    </row>
    <row r="653" spans="6:7" x14ac:dyDescent="0.2">
      <c r="F653" s="123">
        <v>17484</v>
      </c>
      <c r="G653" s="123" t="s">
        <v>1688</v>
      </c>
    </row>
    <row r="654" spans="6:7" x14ac:dyDescent="0.2">
      <c r="F654" s="123">
        <v>17488</v>
      </c>
      <c r="G654" s="123" t="s">
        <v>1689</v>
      </c>
    </row>
    <row r="655" spans="6:7" x14ac:dyDescent="0.2">
      <c r="F655" s="123">
        <v>17490</v>
      </c>
      <c r="G655" s="123" t="s">
        <v>1690</v>
      </c>
    </row>
    <row r="656" spans="6:7" x14ac:dyDescent="0.2">
      <c r="F656" s="123">
        <v>17493</v>
      </c>
      <c r="G656" s="123" t="s">
        <v>1691</v>
      </c>
    </row>
    <row r="657" spans="6:7" x14ac:dyDescent="0.2">
      <c r="F657" s="123">
        <v>17497</v>
      </c>
      <c r="G657" s="123" t="s">
        <v>1692</v>
      </c>
    </row>
    <row r="658" spans="6:7" x14ac:dyDescent="0.2">
      <c r="F658" s="123">
        <v>17498</v>
      </c>
      <c r="G658" s="123" t="s">
        <v>1693</v>
      </c>
    </row>
    <row r="659" spans="6:7" x14ac:dyDescent="0.2">
      <c r="F659" s="123">
        <v>17499</v>
      </c>
      <c r="G659" s="123" t="s">
        <v>1694</v>
      </c>
    </row>
    <row r="660" spans="6:7" x14ac:dyDescent="0.2">
      <c r="F660" s="123">
        <v>17500</v>
      </c>
      <c r="G660" s="123" t="s">
        <v>1695</v>
      </c>
    </row>
    <row r="661" spans="6:7" x14ac:dyDescent="0.2">
      <c r="F661" s="123">
        <v>17501</v>
      </c>
      <c r="G661" s="123" t="s">
        <v>1696</v>
      </c>
    </row>
    <row r="662" spans="6:7" x14ac:dyDescent="0.2">
      <c r="F662" s="123">
        <v>17502</v>
      </c>
      <c r="G662" s="123" t="s">
        <v>1697</v>
      </c>
    </row>
    <row r="663" spans="6:7" x14ac:dyDescent="0.2">
      <c r="F663" s="123">
        <v>17506</v>
      </c>
      <c r="G663" s="123" t="s">
        <v>1698</v>
      </c>
    </row>
    <row r="664" spans="6:7" x14ac:dyDescent="0.2">
      <c r="F664" s="123">
        <v>17508</v>
      </c>
      <c r="G664" s="123" t="s">
        <v>1699</v>
      </c>
    </row>
    <row r="665" spans="6:7" x14ac:dyDescent="0.2">
      <c r="F665" s="123">
        <v>17513</v>
      </c>
      <c r="G665" s="123" t="s">
        <v>1700</v>
      </c>
    </row>
    <row r="666" spans="6:7" x14ac:dyDescent="0.2">
      <c r="F666" s="123">
        <v>17514</v>
      </c>
      <c r="G666" s="123" t="s">
        <v>1701</v>
      </c>
    </row>
    <row r="667" spans="6:7" x14ac:dyDescent="0.2">
      <c r="F667" s="123">
        <v>17515</v>
      </c>
      <c r="G667" s="123" t="s">
        <v>1702</v>
      </c>
    </row>
    <row r="668" spans="6:7" x14ac:dyDescent="0.2">
      <c r="F668" s="123">
        <v>17522</v>
      </c>
      <c r="G668" s="123" t="s">
        <v>1703</v>
      </c>
    </row>
    <row r="669" spans="6:7" x14ac:dyDescent="0.2">
      <c r="F669" s="123">
        <v>17523</v>
      </c>
      <c r="G669" s="123" t="s">
        <v>1704</v>
      </c>
    </row>
    <row r="670" spans="6:7" x14ac:dyDescent="0.2">
      <c r="F670" s="123">
        <v>17525</v>
      </c>
      <c r="G670" s="123" t="s">
        <v>1705</v>
      </c>
    </row>
    <row r="671" spans="6:7" x14ac:dyDescent="0.2">
      <c r="F671" s="123">
        <v>17526</v>
      </c>
      <c r="G671" s="123" t="s">
        <v>1706</v>
      </c>
    </row>
    <row r="672" spans="6:7" x14ac:dyDescent="0.2">
      <c r="F672" s="123">
        <v>17527</v>
      </c>
      <c r="G672" s="123" t="s">
        <v>1707</v>
      </c>
    </row>
    <row r="673" spans="6:7" x14ac:dyDescent="0.2">
      <c r="F673" s="123">
        <v>17528</v>
      </c>
      <c r="G673" s="123" t="s">
        <v>1708</v>
      </c>
    </row>
    <row r="674" spans="6:7" x14ac:dyDescent="0.2">
      <c r="F674" s="123">
        <v>17530</v>
      </c>
      <c r="G674" s="123" t="s">
        <v>1709</v>
      </c>
    </row>
    <row r="675" spans="6:7" x14ac:dyDescent="0.2">
      <c r="F675" s="123">
        <v>17531</v>
      </c>
      <c r="G675" s="123" t="s">
        <v>1710</v>
      </c>
    </row>
    <row r="676" spans="6:7" x14ac:dyDescent="0.2">
      <c r="F676" s="123">
        <v>17532</v>
      </c>
      <c r="G676" s="123" t="s">
        <v>1711</v>
      </c>
    </row>
    <row r="677" spans="6:7" x14ac:dyDescent="0.2">
      <c r="F677" s="123">
        <v>17534</v>
      </c>
      <c r="G677" s="123" t="s">
        <v>1712</v>
      </c>
    </row>
    <row r="678" spans="6:7" x14ac:dyDescent="0.2">
      <c r="F678" s="123">
        <v>17535</v>
      </c>
      <c r="G678" s="123" t="s">
        <v>1713</v>
      </c>
    </row>
    <row r="679" spans="6:7" x14ac:dyDescent="0.2">
      <c r="F679" s="123">
        <v>17545</v>
      </c>
      <c r="G679" s="123" t="s">
        <v>1714</v>
      </c>
    </row>
    <row r="680" spans="6:7" x14ac:dyDescent="0.2">
      <c r="F680" s="123">
        <v>17555</v>
      </c>
      <c r="G680" s="123" t="s">
        <v>1715</v>
      </c>
    </row>
    <row r="681" spans="6:7" x14ac:dyDescent="0.2">
      <c r="F681" s="123">
        <v>17562</v>
      </c>
      <c r="G681" s="123" t="s">
        <v>1716</v>
      </c>
    </row>
    <row r="682" spans="6:7" x14ac:dyDescent="0.2">
      <c r="F682" s="123">
        <v>17595</v>
      </c>
      <c r="G682" s="123" t="s">
        <v>1717</v>
      </c>
    </row>
    <row r="683" spans="6:7" x14ac:dyDescent="0.2">
      <c r="F683" s="123">
        <v>17612</v>
      </c>
      <c r="G683" s="123" t="s">
        <v>1718</v>
      </c>
    </row>
    <row r="684" spans="6:7" x14ac:dyDescent="0.2">
      <c r="F684" s="123">
        <v>17656</v>
      </c>
      <c r="G684" s="123" t="s">
        <v>1719</v>
      </c>
    </row>
    <row r="685" spans="6:7" x14ac:dyDescent="0.2">
      <c r="F685" s="123">
        <v>17665</v>
      </c>
      <c r="G685" s="123" t="s">
        <v>1720</v>
      </c>
    </row>
    <row r="686" spans="6:7" x14ac:dyDescent="0.2">
      <c r="F686" s="123">
        <v>17673</v>
      </c>
      <c r="G686" s="123" t="s">
        <v>1721</v>
      </c>
    </row>
    <row r="687" spans="6:7" x14ac:dyDescent="0.2">
      <c r="F687" s="123">
        <v>17686</v>
      </c>
      <c r="G687" s="123" t="s">
        <v>1722</v>
      </c>
    </row>
    <row r="688" spans="6:7" x14ac:dyDescent="0.2">
      <c r="F688" s="123">
        <v>17696</v>
      </c>
      <c r="G688" s="123" t="s">
        <v>1723</v>
      </c>
    </row>
    <row r="689" spans="6:7" x14ac:dyDescent="0.2">
      <c r="F689" s="123">
        <v>17761</v>
      </c>
      <c r="G689" s="123" t="s">
        <v>1724</v>
      </c>
    </row>
    <row r="690" spans="6:7" x14ac:dyDescent="0.2">
      <c r="F690" s="123">
        <v>17796</v>
      </c>
      <c r="G690" s="123" t="s">
        <v>1725</v>
      </c>
    </row>
    <row r="691" spans="6:7" x14ac:dyDescent="0.2">
      <c r="F691" s="123">
        <v>17831</v>
      </c>
      <c r="G691" s="123" t="s">
        <v>1726</v>
      </c>
    </row>
    <row r="692" spans="6:7" x14ac:dyDescent="0.2">
      <c r="F692" s="123">
        <v>17878</v>
      </c>
      <c r="G692" s="123" t="s">
        <v>1727</v>
      </c>
    </row>
    <row r="693" spans="6:7" x14ac:dyDescent="0.2">
      <c r="F693" s="123">
        <v>18149</v>
      </c>
      <c r="G693" s="123" t="s">
        <v>1728</v>
      </c>
    </row>
    <row r="694" spans="6:7" x14ac:dyDescent="0.2">
      <c r="F694" s="123">
        <v>18410</v>
      </c>
      <c r="G694" s="123" t="s">
        <v>1729</v>
      </c>
    </row>
    <row r="695" spans="6:7" x14ac:dyDescent="0.2">
      <c r="F695" s="123">
        <v>18541</v>
      </c>
      <c r="G695" s="123" t="s">
        <v>1730</v>
      </c>
    </row>
    <row r="696" spans="6:7" x14ac:dyDescent="0.2">
      <c r="F696" s="123">
        <v>18551</v>
      </c>
      <c r="G696" s="123" t="s">
        <v>1731</v>
      </c>
    </row>
    <row r="697" spans="6:7" x14ac:dyDescent="0.2">
      <c r="F697" s="123">
        <v>18580</v>
      </c>
      <c r="G697" s="123" t="s">
        <v>1732</v>
      </c>
    </row>
    <row r="698" spans="6:7" x14ac:dyDescent="0.2">
      <c r="F698" s="123">
        <v>18586</v>
      </c>
      <c r="G698" s="123" t="s">
        <v>1733</v>
      </c>
    </row>
    <row r="699" spans="6:7" x14ac:dyDescent="0.2">
      <c r="F699" s="123">
        <v>18590</v>
      </c>
      <c r="G699" s="123" t="s">
        <v>1734</v>
      </c>
    </row>
    <row r="700" spans="6:7" x14ac:dyDescent="0.2">
      <c r="F700" s="123">
        <v>18604</v>
      </c>
      <c r="G700" s="123" t="s">
        <v>1735</v>
      </c>
    </row>
    <row r="701" spans="6:7" x14ac:dyDescent="0.2">
      <c r="F701" s="123">
        <v>18625</v>
      </c>
      <c r="G701" s="123" t="s">
        <v>1736</v>
      </c>
    </row>
    <row r="702" spans="6:7" x14ac:dyDescent="0.2">
      <c r="F702" s="123">
        <v>18656</v>
      </c>
      <c r="G702" s="123" t="s">
        <v>1737</v>
      </c>
    </row>
    <row r="703" spans="6:7" x14ac:dyDescent="0.2">
      <c r="F703" s="123">
        <v>18663</v>
      </c>
      <c r="G703" s="123" t="s">
        <v>1738</v>
      </c>
    </row>
    <row r="704" spans="6:7" x14ac:dyDescent="0.2">
      <c r="F704" s="123">
        <v>18679</v>
      </c>
      <c r="G704" s="123" t="s">
        <v>1739</v>
      </c>
    </row>
    <row r="705" spans="6:7" x14ac:dyDescent="0.2">
      <c r="F705" s="123">
        <v>18747</v>
      </c>
      <c r="G705" s="123" t="s">
        <v>1740</v>
      </c>
    </row>
    <row r="706" spans="6:7" x14ac:dyDescent="0.2">
      <c r="F706" s="123">
        <v>18756</v>
      </c>
      <c r="G706" s="123" t="s">
        <v>1741</v>
      </c>
    </row>
    <row r="707" spans="6:7" x14ac:dyDescent="0.2">
      <c r="F707" s="123">
        <v>18816</v>
      </c>
      <c r="G707" s="123" t="s">
        <v>1742</v>
      </c>
    </row>
    <row r="708" spans="6:7" x14ac:dyDescent="0.2">
      <c r="F708" s="123">
        <v>18822</v>
      </c>
      <c r="G708" s="123" t="s">
        <v>1743</v>
      </c>
    </row>
    <row r="709" spans="6:7" x14ac:dyDescent="0.2">
      <c r="F709" s="123">
        <v>18864</v>
      </c>
      <c r="G709" s="123" t="s">
        <v>1744</v>
      </c>
    </row>
    <row r="710" spans="6:7" x14ac:dyDescent="0.2">
      <c r="F710" s="123">
        <v>18913</v>
      </c>
      <c r="G710" s="123" t="s">
        <v>1745</v>
      </c>
    </row>
    <row r="711" spans="6:7" x14ac:dyDescent="0.2">
      <c r="F711" s="123">
        <v>18915</v>
      </c>
      <c r="G711" s="123" t="s">
        <v>1746</v>
      </c>
    </row>
    <row r="712" spans="6:7" x14ac:dyDescent="0.2">
      <c r="F712" s="123">
        <v>19076</v>
      </c>
      <c r="G712" s="123" t="s">
        <v>1747</v>
      </c>
    </row>
    <row r="713" spans="6:7" x14ac:dyDescent="0.2">
      <c r="F713" s="123">
        <v>19187</v>
      </c>
      <c r="G713" s="123" t="s">
        <v>1748</v>
      </c>
    </row>
    <row r="714" spans="6:7" x14ac:dyDescent="0.2">
      <c r="F714" s="123">
        <v>19555</v>
      </c>
      <c r="G714" s="123" t="s">
        <v>1749</v>
      </c>
    </row>
    <row r="715" spans="6:7" x14ac:dyDescent="0.2">
      <c r="F715" s="123">
        <v>19563</v>
      </c>
      <c r="G715" s="123" t="s">
        <v>1750</v>
      </c>
    </row>
    <row r="716" spans="6:7" x14ac:dyDescent="0.2">
      <c r="F716" s="123">
        <v>19617</v>
      </c>
      <c r="G716" s="123" t="s">
        <v>1751</v>
      </c>
    </row>
    <row r="717" spans="6:7" x14ac:dyDescent="0.2">
      <c r="F717" s="123">
        <v>19641</v>
      </c>
      <c r="G717" s="123" t="s">
        <v>1752</v>
      </c>
    </row>
    <row r="718" spans="6:7" x14ac:dyDescent="0.2">
      <c r="F718" s="123">
        <v>19660</v>
      </c>
      <c r="G718" s="123" t="s">
        <v>1753</v>
      </c>
    </row>
    <row r="719" spans="6:7" x14ac:dyDescent="0.2">
      <c r="F719" s="123">
        <v>19726</v>
      </c>
      <c r="G719" s="123" t="s">
        <v>1754</v>
      </c>
    </row>
    <row r="720" spans="6:7" x14ac:dyDescent="0.2">
      <c r="F720" s="123">
        <v>19734</v>
      </c>
      <c r="G720" s="123" t="s">
        <v>1755</v>
      </c>
    </row>
    <row r="721" spans="6:7" x14ac:dyDescent="0.2">
      <c r="F721" s="123">
        <v>19735</v>
      </c>
      <c r="G721" s="123" t="s">
        <v>1756</v>
      </c>
    </row>
    <row r="722" spans="6:7" x14ac:dyDescent="0.2">
      <c r="F722" s="123">
        <v>19737</v>
      </c>
      <c r="G722" s="123" t="s">
        <v>1757</v>
      </c>
    </row>
    <row r="723" spans="6:7" x14ac:dyDescent="0.2">
      <c r="F723" s="123">
        <v>19741</v>
      </c>
      <c r="G723" s="123" t="s">
        <v>1758</v>
      </c>
    </row>
    <row r="724" spans="6:7" x14ac:dyDescent="0.2">
      <c r="F724" s="123">
        <v>19742</v>
      </c>
      <c r="G724" s="123" t="s">
        <v>1759</v>
      </c>
    </row>
    <row r="725" spans="6:7" x14ac:dyDescent="0.2">
      <c r="F725" s="123">
        <v>19743</v>
      </c>
      <c r="G725" s="123" t="s">
        <v>1760</v>
      </c>
    </row>
    <row r="726" spans="6:7" x14ac:dyDescent="0.2">
      <c r="F726" s="123">
        <v>19746</v>
      </c>
      <c r="G726" s="123" t="s">
        <v>1761</v>
      </c>
    </row>
    <row r="727" spans="6:7" x14ac:dyDescent="0.2">
      <c r="F727" s="123">
        <v>19749</v>
      </c>
      <c r="G727" s="123" t="s">
        <v>1762</v>
      </c>
    </row>
    <row r="728" spans="6:7" x14ac:dyDescent="0.2">
      <c r="F728" s="123">
        <v>19751</v>
      </c>
      <c r="G728" s="123" t="s">
        <v>1763</v>
      </c>
    </row>
    <row r="729" spans="6:7" x14ac:dyDescent="0.2">
      <c r="F729" s="123">
        <v>19759</v>
      </c>
      <c r="G729" s="123" t="s">
        <v>1764</v>
      </c>
    </row>
    <row r="730" spans="6:7" x14ac:dyDescent="0.2">
      <c r="F730" s="123">
        <v>19760</v>
      </c>
      <c r="G730" s="123" t="s">
        <v>1765</v>
      </c>
    </row>
    <row r="731" spans="6:7" x14ac:dyDescent="0.2">
      <c r="F731" s="123">
        <v>19771</v>
      </c>
      <c r="G731" s="123" t="s">
        <v>1766</v>
      </c>
    </row>
    <row r="732" spans="6:7" x14ac:dyDescent="0.2">
      <c r="F732" s="123">
        <v>19772</v>
      </c>
      <c r="G732" s="123" t="s">
        <v>1767</v>
      </c>
    </row>
    <row r="733" spans="6:7" x14ac:dyDescent="0.2">
      <c r="F733" s="123">
        <v>19775</v>
      </c>
      <c r="G733" s="123" t="s">
        <v>1768</v>
      </c>
    </row>
    <row r="734" spans="6:7" x14ac:dyDescent="0.2">
      <c r="F734" s="123">
        <v>19777</v>
      </c>
      <c r="G734" s="123" t="s">
        <v>1769</v>
      </c>
    </row>
    <row r="735" spans="6:7" x14ac:dyDescent="0.2">
      <c r="F735" s="123">
        <v>19779</v>
      </c>
      <c r="G735" s="123" t="s">
        <v>1770</v>
      </c>
    </row>
    <row r="736" spans="6:7" x14ac:dyDescent="0.2">
      <c r="F736" s="123">
        <v>19781</v>
      </c>
      <c r="G736" s="123" t="s">
        <v>1771</v>
      </c>
    </row>
    <row r="737" spans="6:7" x14ac:dyDescent="0.2">
      <c r="F737" s="123">
        <v>19785</v>
      </c>
      <c r="G737" s="123" t="s">
        <v>1772</v>
      </c>
    </row>
    <row r="738" spans="6:7" x14ac:dyDescent="0.2">
      <c r="F738" s="123">
        <v>19786</v>
      </c>
      <c r="G738" s="123" t="s">
        <v>1773</v>
      </c>
    </row>
    <row r="739" spans="6:7" x14ac:dyDescent="0.2">
      <c r="F739" s="123">
        <v>19795</v>
      </c>
      <c r="G739" s="123" t="s">
        <v>1774</v>
      </c>
    </row>
    <row r="740" spans="6:7" x14ac:dyDescent="0.2">
      <c r="F740" s="123">
        <v>19797</v>
      </c>
      <c r="G740" s="123" t="s">
        <v>1775</v>
      </c>
    </row>
    <row r="741" spans="6:7" x14ac:dyDescent="0.2">
      <c r="F741" s="123">
        <v>19799</v>
      </c>
      <c r="G741" s="123" t="s">
        <v>1776</v>
      </c>
    </row>
    <row r="742" spans="6:7" x14ac:dyDescent="0.2">
      <c r="F742" s="123">
        <v>19802</v>
      </c>
      <c r="G742" s="123" t="s">
        <v>1777</v>
      </c>
    </row>
    <row r="743" spans="6:7" x14ac:dyDescent="0.2">
      <c r="F743" s="123">
        <v>19807</v>
      </c>
      <c r="G743" s="123" t="s">
        <v>1778</v>
      </c>
    </row>
    <row r="744" spans="6:7" x14ac:dyDescent="0.2">
      <c r="F744" s="123">
        <v>19809</v>
      </c>
      <c r="G744" s="123" t="s">
        <v>1779</v>
      </c>
    </row>
    <row r="745" spans="6:7" x14ac:dyDescent="0.2">
      <c r="F745" s="123">
        <v>19812</v>
      </c>
      <c r="G745" s="123" t="s">
        <v>1780</v>
      </c>
    </row>
    <row r="746" spans="6:7" x14ac:dyDescent="0.2">
      <c r="F746" s="123">
        <v>19815</v>
      </c>
      <c r="G746" s="123" t="s">
        <v>1781</v>
      </c>
    </row>
    <row r="747" spans="6:7" x14ac:dyDescent="0.2">
      <c r="F747" s="123">
        <v>19816</v>
      </c>
      <c r="G747" s="123" t="s">
        <v>1782</v>
      </c>
    </row>
    <row r="748" spans="6:7" x14ac:dyDescent="0.2">
      <c r="F748" s="123">
        <v>19818</v>
      </c>
      <c r="G748" s="123" t="s">
        <v>1783</v>
      </c>
    </row>
    <row r="749" spans="6:7" x14ac:dyDescent="0.2">
      <c r="F749" s="123">
        <v>19822</v>
      </c>
      <c r="G749" s="123" t="s">
        <v>1784</v>
      </c>
    </row>
    <row r="750" spans="6:7" x14ac:dyDescent="0.2">
      <c r="F750" s="123">
        <v>19823</v>
      </c>
      <c r="G750" s="123" t="s">
        <v>1785</v>
      </c>
    </row>
    <row r="751" spans="6:7" x14ac:dyDescent="0.2">
      <c r="F751" s="123">
        <v>19828</v>
      </c>
      <c r="G751" s="123" t="s">
        <v>1786</v>
      </c>
    </row>
    <row r="752" spans="6:7" x14ac:dyDescent="0.2">
      <c r="F752" s="123">
        <v>19830</v>
      </c>
      <c r="G752" s="123" t="s">
        <v>1787</v>
      </c>
    </row>
    <row r="753" spans="6:7" x14ac:dyDescent="0.2">
      <c r="F753" s="123">
        <v>19837</v>
      </c>
      <c r="G753" s="123" t="s">
        <v>1788</v>
      </c>
    </row>
    <row r="754" spans="6:7" x14ac:dyDescent="0.2">
      <c r="F754" s="123">
        <v>19843</v>
      </c>
      <c r="G754" s="123" t="s">
        <v>1789</v>
      </c>
    </row>
    <row r="755" spans="6:7" x14ac:dyDescent="0.2">
      <c r="F755" s="123">
        <v>19844</v>
      </c>
      <c r="G755" s="123" t="s">
        <v>1790</v>
      </c>
    </row>
    <row r="756" spans="6:7" x14ac:dyDescent="0.2">
      <c r="F756" s="123">
        <v>19849</v>
      </c>
      <c r="G756" s="123" t="s">
        <v>1791</v>
      </c>
    </row>
    <row r="757" spans="6:7" x14ac:dyDescent="0.2">
      <c r="F757" s="123">
        <v>19851</v>
      </c>
      <c r="G757" s="123" t="s">
        <v>1792</v>
      </c>
    </row>
    <row r="758" spans="6:7" x14ac:dyDescent="0.2">
      <c r="F758" s="123">
        <v>19852</v>
      </c>
      <c r="G758" s="123" t="s">
        <v>1793</v>
      </c>
    </row>
    <row r="759" spans="6:7" x14ac:dyDescent="0.2">
      <c r="F759" s="123">
        <v>19891</v>
      </c>
      <c r="G759" s="123" t="s">
        <v>1794</v>
      </c>
    </row>
    <row r="760" spans="6:7" x14ac:dyDescent="0.2">
      <c r="F760" s="123">
        <v>19892</v>
      </c>
      <c r="G760" s="123" t="s">
        <v>1795</v>
      </c>
    </row>
    <row r="761" spans="6:7" x14ac:dyDescent="0.2">
      <c r="F761" s="123">
        <v>19902</v>
      </c>
      <c r="G761" s="123" t="s">
        <v>1796</v>
      </c>
    </row>
    <row r="762" spans="6:7" x14ac:dyDescent="0.2">
      <c r="F762" s="123">
        <v>19919</v>
      </c>
      <c r="G762" s="123" t="s">
        <v>1797</v>
      </c>
    </row>
    <row r="763" spans="6:7" x14ac:dyDescent="0.2">
      <c r="F763" s="123">
        <v>19952</v>
      </c>
      <c r="G763" s="123" t="s">
        <v>1798</v>
      </c>
    </row>
    <row r="764" spans="6:7" x14ac:dyDescent="0.2">
      <c r="F764" s="123">
        <v>19967</v>
      </c>
      <c r="G764" s="123" t="s">
        <v>1799</v>
      </c>
    </row>
    <row r="765" spans="6:7" x14ac:dyDescent="0.2">
      <c r="F765" s="123">
        <v>19994</v>
      </c>
      <c r="G765" s="123" t="s">
        <v>1800</v>
      </c>
    </row>
    <row r="766" spans="6:7" x14ac:dyDescent="0.2">
      <c r="F766" s="123">
        <v>20010</v>
      </c>
      <c r="G766" s="123" t="s">
        <v>1801</v>
      </c>
    </row>
    <row r="767" spans="6:7" x14ac:dyDescent="0.2">
      <c r="F767" s="123">
        <v>20021</v>
      </c>
      <c r="G767" s="123" t="s">
        <v>1802</v>
      </c>
    </row>
    <row r="768" spans="6:7" x14ac:dyDescent="0.2">
      <c r="F768" s="123">
        <v>20035</v>
      </c>
      <c r="G768" s="123" t="s">
        <v>1803</v>
      </c>
    </row>
    <row r="769" spans="6:7" x14ac:dyDescent="0.2">
      <c r="F769" s="123">
        <v>20046</v>
      </c>
      <c r="G769" s="123" t="s">
        <v>1804</v>
      </c>
    </row>
    <row r="770" spans="6:7" x14ac:dyDescent="0.2">
      <c r="F770" s="123">
        <v>20072</v>
      </c>
      <c r="G770" s="123" t="s">
        <v>1805</v>
      </c>
    </row>
    <row r="771" spans="6:7" x14ac:dyDescent="0.2">
      <c r="F771" s="123">
        <v>20074</v>
      </c>
      <c r="G771" s="123" t="s">
        <v>1806</v>
      </c>
    </row>
    <row r="772" spans="6:7" x14ac:dyDescent="0.2">
      <c r="F772" s="123">
        <v>20096</v>
      </c>
      <c r="G772" s="123" t="s">
        <v>1807</v>
      </c>
    </row>
    <row r="773" spans="6:7" x14ac:dyDescent="0.2">
      <c r="F773" s="123">
        <v>20123</v>
      </c>
      <c r="G773" s="123" t="s">
        <v>1808</v>
      </c>
    </row>
    <row r="774" spans="6:7" x14ac:dyDescent="0.2">
      <c r="F774" s="123">
        <v>20136</v>
      </c>
      <c r="G774" s="123" t="s">
        <v>1809</v>
      </c>
    </row>
    <row r="775" spans="6:7" x14ac:dyDescent="0.2">
      <c r="F775" s="123">
        <v>20158</v>
      </c>
      <c r="G775" s="123" t="s">
        <v>1810</v>
      </c>
    </row>
    <row r="776" spans="6:7" x14ac:dyDescent="0.2">
      <c r="F776" s="123">
        <v>20169</v>
      </c>
      <c r="G776" s="123" t="s">
        <v>1811</v>
      </c>
    </row>
    <row r="777" spans="6:7" x14ac:dyDescent="0.2">
      <c r="F777" s="123">
        <v>20171</v>
      </c>
      <c r="G777" s="123" t="s">
        <v>1812</v>
      </c>
    </row>
    <row r="778" spans="6:7" x14ac:dyDescent="0.2">
      <c r="F778" s="123">
        <v>20219</v>
      </c>
      <c r="G778" s="123" t="s">
        <v>1813</v>
      </c>
    </row>
    <row r="779" spans="6:7" x14ac:dyDescent="0.2">
      <c r="F779" s="123">
        <v>20231</v>
      </c>
      <c r="G779" s="123" t="s">
        <v>1814</v>
      </c>
    </row>
    <row r="780" spans="6:7" x14ac:dyDescent="0.2">
      <c r="F780" s="123">
        <v>20236</v>
      </c>
      <c r="G780" s="123" t="s">
        <v>1815</v>
      </c>
    </row>
    <row r="781" spans="6:7" x14ac:dyDescent="0.2">
      <c r="F781" s="123">
        <v>20262</v>
      </c>
      <c r="G781" s="123" t="s">
        <v>1816</v>
      </c>
    </row>
    <row r="782" spans="6:7" x14ac:dyDescent="0.2">
      <c r="F782" s="123">
        <v>20279</v>
      </c>
      <c r="G782" s="123" t="s">
        <v>1817</v>
      </c>
    </row>
    <row r="783" spans="6:7" x14ac:dyDescent="0.2">
      <c r="F783" s="123">
        <v>20288</v>
      </c>
      <c r="G783" s="123" t="s">
        <v>1818</v>
      </c>
    </row>
    <row r="784" spans="6:7" x14ac:dyDescent="0.2">
      <c r="F784" s="123">
        <v>20331</v>
      </c>
      <c r="G784" s="123" t="s">
        <v>1819</v>
      </c>
    </row>
    <row r="785" spans="6:7" x14ac:dyDescent="0.2">
      <c r="F785" s="123">
        <v>20380</v>
      </c>
      <c r="G785" s="123" t="s">
        <v>1820</v>
      </c>
    </row>
    <row r="786" spans="6:7" x14ac:dyDescent="0.2">
      <c r="F786" s="123">
        <v>20458</v>
      </c>
      <c r="G786" s="123" t="s">
        <v>1821</v>
      </c>
    </row>
    <row r="787" spans="6:7" x14ac:dyDescent="0.2">
      <c r="F787" s="123">
        <v>20605</v>
      </c>
      <c r="G787" s="123" t="s">
        <v>1822</v>
      </c>
    </row>
    <row r="788" spans="6:7" x14ac:dyDescent="0.2">
      <c r="F788" s="123">
        <v>20702</v>
      </c>
      <c r="G788" s="123" t="s">
        <v>1823</v>
      </c>
    </row>
    <row r="789" spans="6:7" x14ac:dyDescent="0.2">
      <c r="F789" s="123">
        <v>20736</v>
      </c>
      <c r="G789" s="123" t="s">
        <v>1824</v>
      </c>
    </row>
    <row r="790" spans="6:7" x14ac:dyDescent="0.2">
      <c r="F790" s="123">
        <v>20752</v>
      </c>
      <c r="G790" s="123" t="s">
        <v>1825</v>
      </c>
    </row>
    <row r="791" spans="6:7" x14ac:dyDescent="0.2">
      <c r="F791" s="123">
        <v>20831</v>
      </c>
      <c r="G791" s="123" t="s">
        <v>1826</v>
      </c>
    </row>
    <row r="792" spans="6:7" x14ac:dyDescent="0.2">
      <c r="F792" s="123">
        <v>20836</v>
      </c>
      <c r="G792" s="123" t="s">
        <v>1827</v>
      </c>
    </row>
    <row r="793" spans="6:7" x14ac:dyDescent="0.2">
      <c r="F793" s="123">
        <v>20903</v>
      </c>
      <c r="G793" s="123" t="s">
        <v>1828</v>
      </c>
    </row>
    <row r="794" spans="6:7" x14ac:dyDescent="0.2">
      <c r="F794" s="123">
        <v>20933</v>
      </c>
      <c r="G794" s="123" t="s">
        <v>1829</v>
      </c>
    </row>
    <row r="795" spans="6:7" x14ac:dyDescent="0.2">
      <c r="F795" s="123">
        <v>20941</v>
      </c>
      <c r="G795" s="123" t="s">
        <v>1830</v>
      </c>
    </row>
    <row r="796" spans="6:7" x14ac:dyDescent="0.2">
      <c r="F796" s="123">
        <v>20952</v>
      </c>
      <c r="G796" s="123" t="s">
        <v>1831</v>
      </c>
    </row>
    <row r="797" spans="6:7" x14ac:dyDescent="0.2">
      <c r="F797" s="123">
        <v>21099</v>
      </c>
      <c r="G797" s="123" t="s">
        <v>1832</v>
      </c>
    </row>
    <row r="798" spans="6:7" x14ac:dyDescent="0.2">
      <c r="F798" s="123">
        <v>21108</v>
      </c>
      <c r="G798" s="123" t="s">
        <v>1833</v>
      </c>
    </row>
    <row r="799" spans="6:7" x14ac:dyDescent="0.2">
      <c r="F799" s="123">
        <v>21248</v>
      </c>
      <c r="G799" s="123" t="s">
        <v>1834</v>
      </c>
    </row>
    <row r="800" spans="6:7" x14ac:dyDescent="0.2">
      <c r="F800" s="123">
        <v>21358</v>
      </c>
      <c r="G800" s="123" t="s">
        <v>1835</v>
      </c>
    </row>
    <row r="801" spans="6:7" x14ac:dyDescent="0.2">
      <c r="F801" s="123">
        <v>21362</v>
      </c>
      <c r="G801" s="123" t="s">
        <v>1836</v>
      </c>
    </row>
    <row r="802" spans="6:7" x14ac:dyDescent="0.2">
      <c r="F802" s="123">
        <v>21371</v>
      </c>
      <c r="G802" s="123" t="s">
        <v>1837</v>
      </c>
    </row>
    <row r="803" spans="6:7" x14ac:dyDescent="0.2">
      <c r="F803" s="123">
        <v>21373</v>
      </c>
      <c r="G803" s="123" t="s">
        <v>1838</v>
      </c>
    </row>
    <row r="804" spans="6:7" x14ac:dyDescent="0.2">
      <c r="F804" s="123">
        <v>21378</v>
      </c>
      <c r="G804" s="123" t="s">
        <v>1839</v>
      </c>
    </row>
    <row r="805" spans="6:7" x14ac:dyDescent="0.2">
      <c r="F805" s="123">
        <v>21386</v>
      </c>
      <c r="G805" s="123" t="s">
        <v>1840</v>
      </c>
    </row>
    <row r="806" spans="6:7" x14ac:dyDescent="0.2">
      <c r="F806" s="123">
        <v>21387</v>
      </c>
      <c r="G806" s="123" t="s">
        <v>1841</v>
      </c>
    </row>
    <row r="807" spans="6:7" x14ac:dyDescent="0.2">
      <c r="F807" s="123">
        <v>21391</v>
      </c>
      <c r="G807" s="123" t="s">
        <v>1842</v>
      </c>
    </row>
    <row r="808" spans="6:7" x14ac:dyDescent="0.2">
      <c r="F808" s="123">
        <v>21401</v>
      </c>
      <c r="G808" s="123" t="s">
        <v>1843</v>
      </c>
    </row>
    <row r="809" spans="6:7" x14ac:dyDescent="0.2">
      <c r="F809" s="123">
        <v>21413</v>
      </c>
      <c r="G809" s="123" t="s">
        <v>1844</v>
      </c>
    </row>
    <row r="810" spans="6:7" x14ac:dyDescent="0.2">
      <c r="F810" s="123">
        <v>21422</v>
      </c>
      <c r="G810" s="123" t="s">
        <v>1845</v>
      </c>
    </row>
    <row r="811" spans="6:7" x14ac:dyDescent="0.2">
      <c r="F811" s="123">
        <v>21424</v>
      </c>
      <c r="G811" s="123" t="s">
        <v>1846</v>
      </c>
    </row>
    <row r="812" spans="6:7" x14ac:dyDescent="0.2">
      <c r="F812" s="123">
        <v>21427</v>
      </c>
      <c r="G812" s="123" t="s">
        <v>1847</v>
      </c>
    </row>
    <row r="813" spans="6:7" x14ac:dyDescent="0.2">
      <c r="F813" s="123">
        <v>21428</v>
      </c>
      <c r="G813" s="123" t="s">
        <v>1848</v>
      </c>
    </row>
    <row r="814" spans="6:7" x14ac:dyDescent="0.2">
      <c r="F814" s="123">
        <v>21431</v>
      </c>
      <c r="G814" s="123" t="s">
        <v>1849</v>
      </c>
    </row>
    <row r="815" spans="6:7" x14ac:dyDescent="0.2">
      <c r="F815" s="123">
        <v>21432</v>
      </c>
      <c r="G815" s="123" t="s">
        <v>1850</v>
      </c>
    </row>
    <row r="816" spans="6:7" x14ac:dyDescent="0.2">
      <c r="F816" s="123">
        <v>21433</v>
      </c>
      <c r="G816" s="123" t="s">
        <v>1851</v>
      </c>
    </row>
    <row r="817" spans="6:7" x14ac:dyDescent="0.2">
      <c r="F817" s="123">
        <v>21438</v>
      </c>
      <c r="G817" s="123" t="s">
        <v>1852</v>
      </c>
    </row>
    <row r="818" spans="6:7" x14ac:dyDescent="0.2">
      <c r="F818" s="123">
        <v>21442</v>
      </c>
      <c r="G818" s="123" t="s">
        <v>1853</v>
      </c>
    </row>
    <row r="819" spans="6:7" x14ac:dyDescent="0.2">
      <c r="F819" s="123">
        <v>21445</v>
      </c>
      <c r="G819" s="123" t="s">
        <v>1854</v>
      </c>
    </row>
    <row r="820" spans="6:7" x14ac:dyDescent="0.2">
      <c r="F820" s="123">
        <v>21455</v>
      </c>
      <c r="G820" s="123" t="s">
        <v>1855</v>
      </c>
    </row>
    <row r="821" spans="6:7" x14ac:dyDescent="0.2">
      <c r="F821" s="123">
        <v>21456</v>
      </c>
      <c r="G821" s="123" t="s">
        <v>1856</v>
      </c>
    </row>
    <row r="822" spans="6:7" x14ac:dyDescent="0.2">
      <c r="F822" s="123">
        <v>21458</v>
      </c>
      <c r="G822" s="123" t="s">
        <v>1857</v>
      </c>
    </row>
    <row r="823" spans="6:7" x14ac:dyDescent="0.2">
      <c r="F823" s="123">
        <v>21460</v>
      </c>
      <c r="G823" s="123" t="s">
        <v>1858</v>
      </c>
    </row>
    <row r="824" spans="6:7" x14ac:dyDescent="0.2">
      <c r="F824" s="123">
        <v>21461</v>
      </c>
      <c r="G824" s="123" t="s">
        <v>1859</v>
      </c>
    </row>
    <row r="825" spans="6:7" x14ac:dyDescent="0.2">
      <c r="F825" s="123">
        <v>21464</v>
      </c>
      <c r="G825" s="123" t="s">
        <v>1860</v>
      </c>
    </row>
    <row r="826" spans="6:7" x14ac:dyDescent="0.2">
      <c r="F826" s="123">
        <v>21466</v>
      </c>
      <c r="G826" s="123" t="s">
        <v>1861</v>
      </c>
    </row>
    <row r="827" spans="6:7" x14ac:dyDescent="0.2">
      <c r="F827" s="123">
        <v>21468</v>
      </c>
      <c r="G827" s="123" t="s">
        <v>1862</v>
      </c>
    </row>
    <row r="828" spans="6:7" x14ac:dyDescent="0.2">
      <c r="F828" s="123">
        <v>21470</v>
      </c>
      <c r="G828" s="123" t="s">
        <v>1863</v>
      </c>
    </row>
    <row r="829" spans="6:7" x14ac:dyDescent="0.2">
      <c r="F829" s="123">
        <v>21471</v>
      </c>
      <c r="G829" s="123" t="s">
        <v>1864</v>
      </c>
    </row>
    <row r="830" spans="6:7" x14ac:dyDescent="0.2">
      <c r="F830" s="123">
        <v>21472</v>
      </c>
      <c r="G830" s="123" t="s">
        <v>1865</v>
      </c>
    </row>
    <row r="831" spans="6:7" x14ac:dyDescent="0.2">
      <c r="F831" s="123">
        <v>21473</v>
      </c>
      <c r="G831" s="123" t="s">
        <v>1866</v>
      </c>
    </row>
    <row r="832" spans="6:7" x14ac:dyDescent="0.2">
      <c r="F832" s="123">
        <v>21474</v>
      </c>
      <c r="G832" s="123" t="s">
        <v>1867</v>
      </c>
    </row>
    <row r="833" spans="6:7" x14ac:dyDescent="0.2">
      <c r="F833" s="123">
        <v>21476</v>
      </c>
      <c r="G833" s="123" t="s">
        <v>1868</v>
      </c>
    </row>
    <row r="834" spans="6:7" x14ac:dyDescent="0.2">
      <c r="F834" s="123">
        <v>21478</v>
      </c>
      <c r="G834" s="123" t="s">
        <v>1869</v>
      </c>
    </row>
    <row r="835" spans="6:7" x14ac:dyDescent="0.2">
      <c r="F835" s="123">
        <v>21479</v>
      </c>
      <c r="G835" s="123" t="s">
        <v>1870</v>
      </c>
    </row>
    <row r="836" spans="6:7" x14ac:dyDescent="0.2">
      <c r="F836" s="123">
        <v>21480</v>
      </c>
      <c r="G836" s="123" t="s">
        <v>1871</v>
      </c>
    </row>
    <row r="837" spans="6:7" x14ac:dyDescent="0.2">
      <c r="F837" s="123">
        <v>21481</v>
      </c>
      <c r="G837" s="123" t="s">
        <v>1872</v>
      </c>
    </row>
    <row r="838" spans="6:7" x14ac:dyDescent="0.2">
      <c r="F838" s="123">
        <v>21484</v>
      </c>
      <c r="G838" s="123" t="s">
        <v>1873</v>
      </c>
    </row>
    <row r="839" spans="6:7" x14ac:dyDescent="0.2">
      <c r="F839" s="123">
        <v>21485</v>
      </c>
      <c r="G839" s="123" t="s">
        <v>1874</v>
      </c>
    </row>
    <row r="840" spans="6:7" x14ac:dyDescent="0.2">
      <c r="F840" s="123">
        <v>21487</v>
      </c>
      <c r="G840" s="123" t="s">
        <v>1875</v>
      </c>
    </row>
    <row r="841" spans="6:7" x14ac:dyDescent="0.2">
      <c r="F841" s="123">
        <v>21489</v>
      </c>
      <c r="G841" s="123" t="s">
        <v>1876</v>
      </c>
    </row>
    <row r="842" spans="6:7" x14ac:dyDescent="0.2">
      <c r="F842" s="123">
        <v>21494</v>
      </c>
      <c r="G842" s="123" t="s">
        <v>1877</v>
      </c>
    </row>
    <row r="843" spans="6:7" x14ac:dyDescent="0.2">
      <c r="F843" s="123">
        <v>21495</v>
      </c>
      <c r="G843" s="123" t="s">
        <v>1878</v>
      </c>
    </row>
    <row r="844" spans="6:7" x14ac:dyDescent="0.2">
      <c r="F844" s="123">
        <v>21497</v>
      </c>
      <c r="G844" s="123" t="s">
        <v>1879</v>
      </c>
    </row>
    <row r="845" spans="6:7" x14ac:dyDescent="0.2">
      <c r="F845" s="123">
        <v>21500</v>
      </c>
      <c r="G845" s="123" t="s">
        <v>1880</v>
      </c>
    </row>
    <row r="846" spans="6:7" x14ac:dyDescent="0.2">
      <c r="F846" s="123">
        <v>21503</v>
      </c>
      <c r="G846" s="123" t="s">
        <v>1881</v>
      </c>
    </row>
    <row r="847" spans="6:7" x14ac:dyDescent="0.2">
      <c r="F847" s="123">
        <v>21504</v>
      </c>
      <c r="G847" s="123" t="s">
        <v>1882</v>
      </c>
    </row>
    <row r="848" spans="6:7" x14ac:dyDescent="0.2">
      <c r="F848" s="123">
        <v>21506</v>
      </c>
      <c r="G848" s="123" t="s">
        <v>1883</v>
      </c>
    </row>
    <row r="849" spans="6:7" x14ac:dyDescent="0.2">
      <c r="F849" s="123">
        <v>21507</v>
      </c>
      <c r="G849" s="123" t="s">
        <v>1884</v>
      </c>
    </row>
    <row r="850" spans="6:7" x14ac:dyDescent="0.2">
      <c r="F850" s="123">
        <v>21512</v>
      </c>
      <c r="G850" s="123" t="s">
        <v>1885</v>
      </c>
    </row>
    <row r="851" spans="6:7" x14ac:dyDescent="0.2">
      <c r="F851" s="123">
        <v>21513</v>
      </c>
      <c r="G851" s="123" t="s">
        <v>1886</v>
      </c>
    </row>
    <row r="852" spans="6:7" x14ac:dyDescent="0.2">
      <c r="F852" s="123">
        <v>21521</v>
      </c>
      <c r="G852" s="123" t="s">
        <v>1887</v>
      </c>
    </row>
    <row r="853" spans="6:7" x14ac:dyDescent="0.2">
      <c r="F853" s="123">
        <v>21522</v>
      </c>
      <c r="G853" s="123" t="s">
        <v>1888</v>
      </c>
    </row>
    <row r="854" spans="6:7" x14ac:dyDescent="0.2">
      <c r="F854" s="123">
        <v>21528</v>
      </c>
      <c r="G854" s="123" t="s">
        <v>1889</v>
      </c>
    </row>
    <row r="855" spans="6:7" x14ac:dyDescent="0.2">
      <c r="F855" s="123">
        <v>21532</v>
      </c>
      <c r="G855" s="123" t="s">
        <v>1890</v>
      </c>
    </row>
    <row r="856" spans="6:7" x14ac:dyDescent="0.2">
      <c r="F856" s="123">
        <v>21533</v>
      </c>
      <c r="G856" s="123" t="s">
        <v>1891</v>
      </c>
    </row>
    <row r="857" spans="6:7" x14ac:dyDescent="0.2">
      <c r="F857" s="123">
        <v>21535</v>
      </c>
      <c r="G857" s="123" t="s">
        <v>1892</v>
      </c>
    </row>
    <row r="858" spans="6:7" x14ac:dyDescent="0.2">
      <c r="F858" s="123">
        <v>21539</v>
      </c>
      <c r="G858" s="123" t="s">
        <v>1893</v>
      </c>
    </row>
    <row r="859" spans="6:7" x14ac:dyDescent="0.2">
      <c r="F859" s="123">
        <v>21540</v>
      </c>
      <c r="G859" s="123" t="s">
        <v>1894</v>
      </c>
    </row>
    <row r="860" spans="6:7" x14ac:dyDescent="0.2">
      <c r="F860" s="123">
        <v>21541</v>
      </c>
      <c r="G860" s="123" t="s">
        <v>1895</v>
      </c>
    </row>
    <row r="861" spans="6:7" x14ac:dyDescent="0.2">
      <c r="F861" s="123">
        <v>21542</v>
      </c>
      <c r="G861" s="123" t="s">
        <v>1896</v>
      </c>
    </row>
    <row r="862" spans="6:7" x14ac:dyDescent="0.2">
      <c r="F862" s="123">
        <v>21543</v>
      </c>
      <c r="G862" s="123" t="s">
        <v>1897</v>
      </c>
    </row>
    <row r="863" spans="6:7" x14ac:dyDescent="0.2">
      <c r="F863" s="123">
        <v>21544</v>
      </c>
      <c r="G863" s="123" t="s">
        <v>1898</v>
      </c>
    </row>
    <row r="864" spans="6:7" x14ac:dyDescent="0.2">
      <c r="F864" s="123">
        <v>21549</v>
      </c>
      <c r="G864" s="123" t="s">
        <v>1899</v>
      </c>
    </row>
    <row r="865" spans="6:7" x14ac:dyDescent="0.2">
      <c r="F865" s="123">
        <v>21550</v>
      </c>
      <c r="G865" s="123" t="s">
        <v>1900</v>
      </c>
    </row>
    <row r="866" spans="6:7" x14ac:dyDescent="0.2">
      <c r="F866" s="123">
        <v>21551</v>
      </c>
      <c r="G866" s="123" t="s">
        <v>1901</v>
      </c>
    </row>
    <row r="867" spans="6:7" x14ac:dyDescent="0.2">
      <c r="F867" s="123">
        <v>21557</v>
      </c>
      <c r="G867" s="123" t="s">
        <v>1902</v>
      </c>
    </row>
    <row r="868" spans="6:7" x14ac:dyDescent="0.2">
      <c r="F868" s="123">
        <v>21559</v>
      </c>
      <c r="G868" s="123" t="s">
        <v>1903</v>
      </c>
    </row>
    <row r="869" spans="6:7" x14ac:dyDescent="0.2">
      <c r="F869" s="123">
        <v>21562</v>
      </c>
      <c r="G869" s="123" t="s">
        <v>1904</v>
      </c>
    </row>
    <row r="870" spans="6:7" x14ac:dyDescent="0.2">
      <c r="F870" s="123">
        <v>21563</v>
      </c>
      <c r="G870" s="123" t="s">
        <v>1905</v>
      </c>
    </row>
    <row r="871" spans="6:7" x14ac:dyDescent="0.2">
      <c r="F871" s="123">
        <v>21565</v>
      </c>
      <c r="G871" s="123" t="s">
        <v>1906</v>
      </c>
    </row>
    <row r="872" spans="6:7" x14ac:dyDescent="0.2">
      <c r="F872" s="123">
        <v>21566</v>
      </c>
      <c r="G872" s="123" t="s">
        <v>1907</v>
      </c>
    </row>
    <row r="873" spans="6:7" x14ac:dyDescent="0.2">
      <c r="F873" s="123">
        <v>21567</v>
      </c>
      <c r="G873" s="123" t="s">
        <v>1908</v>
      </c>
    </row>
    <row r="874" spans="6:7" x14ac:dyDescent="0.2">
      <c r="F874" s="123">
        <v>21569</v>
      </c>
      <c r="G874" s="123" t="s">
        <v>1909</v>
      </c>
    </row>
    <row r="875" spans="6:7" x14ac:dyDescent="0.2">
      <c r="F875" s="123">
        <v>21570</v>
      </c>
      <c r="G875" s="123" t="s">
        <v>1910</v>
      </c>
    </row>
    <row r="876" spans="6:7" x14ac:dyDescent="0.2">
      <c r="F876" s="123">
        <v>21572</v>
      </c>
      <c r="G876" s="123" t="s">
        <v>1911</v>
      </c>
    </row>
    <row r="877" spans="6:7" x14ac:dyDescent="0.2">
      <c r="F877" s="123">
        <v>21574</v>
      </c>
      <c r="G877" s="123" t="s">
        <v>1912</v>
      </c>
    </row>
    <row r="878" spans="6:7" x14ac:dyDescent="0.2">
      <c r="F878" s="123">
        <v>21575</v>
      </c>
      <c r="G878" s="123" t="s">
        <v>1913</v>
      </c>
    </row>
    <row r="879" spans="6:7" x14ac:dyDescent="0.2">
      <c r="F879" s="123">
        <v>21576</v>
      </c>
      <c r="G879" s="123" t="s">
        <v>1914</v>
      </c>
    </row>
    <row r="880" spans="6:7" x14ac:dyDescent="0.2">
      <c r="F880" s="123">
        <v>21586</v>
      </c>
      <c r="G880" s="123" t="s">
        <v>1915</v>
      </c>
    </row>
    <row r="881" spans="6:7" x14ac:dyDescent="0.2">
      <c r="F881" s="123">
        <v>21587</v>
      </c>
      <c r="G881" s="123" t="s">
        <v>1916</v>
      </c>
    </row>
    <row r="882" spans="6:7" x14ac:dyDescent="0.2">
      <c r="F882" s="123">
        <v>21591</v>
      </c>
      <c r="G882" s="123" t="s">
        <v>1917</v>
      </c>
    </row>
    <row r="883" spans="6:7" x14ac:dyDescent="0.2">
      <c r="F883" s="123">
        <v>21598</v>
      </c>
      <c r="G883" s="123" t="s">
        <v>1918</v>
      </c>
    </row>
    <row r="884" spans="6:7" x14ac:dyDescent="0.2">
      <c r="F884" s="123">
        <v>21599</v>
      </c>
      <c r="G884" s="123" t="s">
        <v>1919</v>
      </c>
    </row>
    <row r="885" spans="6:7" x14ac:dyDescent="0.2">
      <c r="F885" s="123">
        <v>21600</v>
      </c>
      <c r="G885" s="123" t="s">
        <v>1920</v>
      </c>
    </row>
    <row r="886" spans="6:7" x14ac:dyDescent="0.2">
      <c r="F886" s="123">
        <v>21601</v>
      </c>
      <c r="G886" s="123" t="s">
        <v>1921</v>
      </c>
    </row>
    <row r="887" spans="6:7" x14ac:dyDescent="0.2">
      <c r="F887" s="123">
        <v>21604</v>
      </c>
      <c r="G887" s="123" t="s">
        <v>1922</v>
      </c>
    </row>
    <row r="888" spans="6:7" x14ac:dyDescent="0.2">
      <c r="F888" s="123">
        <v>21609</v>
      </c>
      <c r="G888" s="123" t="s">
        <v>1923</v>
      </c>
    </row>
    <row r="889" spans="6:7" x14ac:dyDescent="0.2">
      <c r="F889" s="123">
        <v>21614</v>
      </c>
      <c r="G889" s="123" t="s">
        <v>1924</v>
      </c>
    </row>
    <row r="890" spans="6:7" x14ac:dyDescent="0.2">
      <c r="F890" s="123">
        <v>21617</v>
      </c>
      <c r="G890" s="123" t="s">
        <v>1925</v>
      </c>
    </row>
    <row r="891" spans="6:7" x14ac:dyDescent="0.2">
      <c r="F891" s="123">
        <v>21621</v>
      </c>
      <c r="G891" s="123" t="s">
        <v>1926</v>
      </c>
    </row>
    <row r="892" spans="6:7" x14ac:dyDescent="0.2">
      <c r="F892" s="123">
        <v>21622</v>
      </c>
      <c r="G892" s="123" t="s">
        <v>1927</v>
      </c>
    </row>
    <row r="893" spans="6:7" x14ac:dyDescent="0.2">
      <c r="F893" s="123">
        <v>21624</v>
      </c>
      <c r="G893" s="123" t="s">
        <v>1928</v>
      </c>
    </row>
    <row r="894" spans="6:7" x14ac:dyDescent="0.2">
      <c r="F894" s="123">
        <v>21628</v>
      </c>
      <c r="G894" s="123" t="s">
        <v>1929</v>
      </c>
    </row>
    <row r="895" spans="6:7" x14ac:dyDescent="0.2">
      <c r="F895" s="123">
        <v>21629</v>
      </c>
      <c r="G895" s="123" t="s">
        <v>1930</v>
      </c>
    </row>
    <row r="896" spans="6:7" x14ac:dyDescent="0.2">
      <c r="F896" s="123">
        <v>21642</v>
      </c>
      <c r="G896" s="123" t="s">
        <v>1931</v>
      </c>
    </row>
    <row r="897" spans="6:7" x14ac:dyDescent="0.2">
      <c r="F897" s="123">
        <v>21643</v>
      </c>
      <c r="G897" s="123" t="s">
        <v>1932</v>
      </c>
    </row>
    <row r="898" spans="6:7" x14ac:dyDescent="0.2">
      <c r="F898" s="123">
        <v>21648</v>
      </c>
      <c r="G898" s="123" t="s">
        <v>1933</v>
      </c>
    </row>
    <row r="899" spans="6:7" x14ac:dyDescent="0.2">
      <c r="F899" s="123">
        <v>21649</v>
      </c>
      <c r="G899" s="123" t="s">
        <v>1934</v>
      </c>
    </row>
    <row r="900" spans="6:7" x14ac:dyDescent="0.2">
      <c r="F900" s="123">
        <v>21650</v>
      </c>
      <c r="G900" s="123" t="s">
        <v>1935</v>
      </c>
    </row>
    <row r="901" spans="6:7" x14ac:dyDescent="0.2">
      <c r="F901" s="123">
        <v>21651</v>
      </c>
      <c r="G901" s="123" t="s">
        <v>1936</v>
      </c>
    </row>
    <row r="902" spans="6:7" x14ac:dyDescent="0.2">
      <c r="F902" s="123">
        <v>21652</v>
      </c>
      <c r="G902" s="123" t="s">
        <v>1937</v>
      </c>
    </row>
    <row r="903" spans="6:7" x14ac:dyDescent="0.2">
      <c r="F903" s="123">
        <v>21661</v>
      </c>
      <c r="G903" s="123" t="s">
        <v>1938</v>
      </c>
    </row>
    <row r="904" spans="6:7" x14ac:dyDescent="0.2">
      <c r="F904" s="123">
        <v>21664</v>
      </c>
      <c r="G904" s="123" t="s">
        <v>1939</v>
      </c>
    </row>
    <row r="905" spans="6:7" x14ac:dyDescent="0.2">
      <c r="F905" s="123">
        <v>21665</v>
      </c>
      <c r="G905" s="123" t="s">
        <v>1940</v>
      </c>
    </row>
    <row r="906" spans="6:7" x14ac:dyDescent="0.2">
      <c r="F906" s="123">
        <v>21666</v>
      </c>
      <c r="G906" s="123" t="s">
        <v>1941</v>
      </c>
    </row>
    <row r="907" spans="6:7" x14ac:dyDescent="0.2">
      <c r="F907" s="123">
        <v>21670</v>
      </c>
      <c r="G907" s="123" t="s">
        <v>1942</v>
      </c>
    </row>
    <row r="908" spans="6:7" x14ac:dyDescent="0.2">
      <c r="F908" s="123">
        <v>21682</v>
      </c>
      <c r="G908" s="123" t="s">
        <v>1943</v>
      </c>
    </row>
    <row r="909" spans="6:7" x14ac:dyDescent="0.2">
      <c r="F909" s="123">
        <v>21686</v>
      </c>
      <c r="G909" s="123" t="s">
        <v>1944</v>
      </c>
    </row>
    <row r="910" spans="6:7" x14ac:dyDescent="0.2">
      <c r="F910" s="123">
        <v>21726</v>
      </c>
      <c r="G910" s="123" t="s">
        <v>1945</v>
      </c>
    </row>
    <row r="911" spans="6:7" x14ac:dyDescent="0.2">
      <c r="F911" s="123">
        <v>21733</v>
      </c>
      <c r="G911" s="123" t="s">
        <v>1946</v>
      </c>
    </row>
    <row r="912" spans="6:7" x14ac:dyDescent="0.2">
      <c r="F912" s="123">
        <v>21742</v>
      </c>
      <c r="G912" s="123" t="s">
        <v>1947</v>
      </c>
    </row>
    <row r="913" spans="6:7" x14ac:dyDescent="0.2">
      <c r="F913" s="123">
        <v>21744</v>
      </c>
      <c r="G913" s="123" t="s">
        <v>1948</v>
      </c>
    </row>
    <row r="914" spans="6:7" x14ac:dyDescent="0.2">
      <c r="F914" s="123">
        <v>21786</v>
      </c>
      <c r="G914" s="123" t="s">
        <v>1949</v>
      </c>
    </row>
    <row r="915" spans="6:7" x14ac:dyDescent="0.2">
      <c r="F915" s="123">
        <v>21804</v>
      </c>
      <c r="G915" s="123" t="s">
        <v>1950</v>
      </c>
    </row>
    <row r="916" spans="6:7" x14ac:dyDescent="0.2">
      <c r="F916" s="123">
        <v>21805</v>
      </c>
      <c r="G916" s="123" t="s">
        <v>1951</v>
      </c>
    </row>
    <row r="917" spans="6:7" x14ac:dyDescent="0.2">
      <c r="F917" s="123">
        <v>21831</v>
      </c>
      <c r="G917" s="123" t="s">
        <v>1952</v>
      </c>
    </row>
    <row r="918" spans="6:7" x14ac:dyDescent="0.2">
      <c r="F918" s="123">
        <v>21833</v>
      </c>
      <c r="G918" s="123" t="s">
        <v>1953</v>
      </c>
    </row>
    <row r="919" spans="6:7" x14ac:dyDescent="0.2">
      <c r="F919" s="123">
        <v>21834</v>
      </c>
      <c r="G919" s="123" t="s">
        <v>1954</v>
      </c>
    </row>
    <row r="920" spans="6:7" x14ac:dyDescent="0.2">
      <c r="F920" s="123">
        <v>21836</v>
      </c>
      <c r="G920" s="123" t="s">
        <v>1955</v>
      </c>
    </row>
    <row r="921" spans="6:7" x14ac:dyDescent="0.2">
      <c r="F921" s="123">
        <v>21857</v>
      </c>
      <c r="G921" s="123" t="s">
        <v>1956</v>
      </c>
    </row>
    <row r="922" spans="6:7" x14ac:dyDescent="0.2">
      <c r="F922" s="123">
        <v>21872</v>
      </c>
      <c r="G922" s="123" t="s">
        <v>1957</v>
      </c>
    </row>
    <row r="923" spans="6:7" x14ac:dyDescent="0.2">
      <c r="F923" s="123">
        <v>21969</v>
      </c>
      <c r="G923" s="123" t="s">
        <v>1958</v>
      </c>
    </row>
    <row r="924" spans="6:7" x14ac:dyDescent="0.2">
      <c r="F924" s="123">
        <v>22004</v>
      </c>
      <c r="G924" s="123" t="s">
        <v>1959</v>
      </c>
    </row>
    <row r="925" spans="6:7" x14ac:dyDescent="0.2">
      <c r="F925" s="123">
        <v>22010</v>
      </c>
      <c r="G925" s="123" t="s">
        <v>1960</v>
      </c>
    </row>
    <row r="926" spans="6:7" x14ac:dyDescent="0.2">
      <c r="F926" s="123">
        <v>22016</v>
      </c>
      <c r="G926" s="123" t="s">
        <v>1961</v>
      </c>
    </row>
    <row r="927" spans="6:7" x14ac:dyDescent="0.2">
      <c r="F927" s="123">
        <v>22017</v>
      </c>
      <c r="G927" s="123" t="s">
        <v>1962</v>
      </c>
    </row>
    <row r="928" spans="6:7" x14ac:dyDescent="0.2">
      <c r="F928" s="123">
        <v>22021</v>
      </c>
      <c r="G928" s="123" t="s">
        <v>1963</v>
      </c>
    </row>
    <row r="929" spans="6:7" x14ac:dyDescent="0.2">
      <c r="F929" s="123">
        <v>22044</v>
      </c>
      <c r="G929" s="123" t="s">
        <v>1964</v>
      </c>
    </row>
    <row r="930" spans="6:7" x14ac:dyDescent="0.2">
      <c r="F930" s="123">
        <v>22068</v>
      </c>
      <c r="G930" s="123" t="s">
        <v>1965</v>
      </c>
    </row>
    <row r="931" spans="6:7" x14ac:dyDescent="0.2">
      <c r="F931" s="123">
        <v>22072</v>
      </c>
      <c r="G931" s="123" t="s">
        <v>1966</v>
      </c>
    </row>
    <row r="932" spans="6:7" x14ac:dyDescent="0.2">
      <c r="F932" s="123">
        <v>22084</v>
      </c>
      <c r="G932" s="123" t="s">
        <v>1967</v>
      </c>
    </row>
    <row r="933" spans="6:7" x14ac:dyDescent="0.2">
      <c r="F933" s="123">
        <v>22093</v>
      </c>
      <c r="G933" s="123" t="s">
        <v>1968</v>
      </c>
    </row>
    <row r="934" spans="6:7" x14ac:dyDescent="0.2">
      <c r="F934" s="123">
        <v>22098</v>
      </c>
      <c r="G934" s="123" t="s">
        <v>1969</v>
      </c>
    </row>
    <row r="935" spans="6:7" x14ac:dyDescent="0.2">
      <c r="F935" s="123">
        <v>22114</v>
      </c>
      <c r="G935" s="123" t="s">
        <v>1970</v>
      </c>
    </row>
    <row r="936" spans="6:7" x14ac:dyDescent="0.2">
      <c r="F936" s="123">
        <v>22121</v>
      </c>
      <c r="G936" s="123" t="s">
        <v>1971</v>
      </c>
    </row>
    <row r="937" spans="6:7" x14ac:dyDescent="0.2">
      <c r="F937" s="123">
        <v>22126</v>
      </c>
      <c r="G937" s="123" t="s">
        <v>1972</v>
      </c>
    </row>
    <row r="938" spans="6:7" x14ac:dyDescent="0.2">
      <c r="F938" s="123">
        <v>22128</v>
      </c>
      <c r="G938" s="123" t="s">
        <v>1973</v>
      </c>
    </row>
    <row r="939" spans="6:7" x14ac:dyDescent="0.2">
      <c r="F939" s="123">
        <v>22129</v>
      </c>
      <c r="G939" s="123" t="s">
        <v>1974</v>
      </c>
    </row>
    <row r="940" spans="6:7" x14ac:dyDescent="0.2">
      <c r="F940" s="123">
        <v>22131</v>
      </c>
      <c r="G940" s="123" t="s">
        <v>1975</v>
      </c>
    </row>
    <row r="941" spans="6:7" x14ac:dyDescent="0.2">
      <c r="F941" s="123">
        <v>22132</v>
      </c>
      <c r="G941" s="123" t="s">
        <v>1976</v>
      </c>
    </row>
    <row r="942" spans="6:7" x14ac:dyDescent="0.2">
      <c r="F942" s="123">
        <v>22141</v>
      </c>
      <c r="G942" s="123" t="s">
        <v>1977</v>
      </c>
    </row>
    <row r="943" spans="6:7" x14ac:dyDescent="0.2">
      <c r="F943" s="123">
        <v>22142</v>
      </c>
      <c r="G943" s="123" t="s">
        <v>1978</v>
      </c>
    </row>
    <row r="944" spans="6:7" x14ac:dyDescent="0.2">
      <c r="F944" s="123">
        <v>22143</v>
      </c>
      <c r="G944" s="123" t="s">
        <v>1979</v>
      </c>
    </row>
    <row r="945" spans="6:7" x14ac:dyDescent="0.2">
      <c r="F945" s="123">
        <v>22146</v>
      </c>
      <c r="G945" s="123" t="s">
        <v>1980</v>
      </c>
    </row>
    <row r="946" spans="6:7" x14ac:dyDescent="0.2">
      <c r="F946" s="123">
        <v>22147</v>
      </c>
      <c r="G946" s="123" t="s">
        <v>1981</v>
      </c>
    </row>
    <row r="947" spans="6:7" x14ac:dyDescent="0.2">
      <c r="F947" s="123">
        <v>22154</v>
      </c>
      <c r="G947" s="123" t="s">
        <v>1982</v>
      </c>
    </row>
    <row r="948" spans="6:7" x14ac:dyDescent="0.2">
      <c r="F948" s="123">
        <v>22157</v>
      </c>
      <c r="G948" s="123" t="s">
        <v>1983</v>
      </c>
    </row>
    <row r="949" spans="6:7" x14ac:dyDescent="0.2">
      <c r="F949" s="123">
        <v>22158</v>
      </c>
      <c r="G949" s="123" t="s">
        <v>1984</v>
      </c>
    </row>
    <row r="950" spans="6:7" x14ac:dyDescent="0.2">
      <c r="F950" s="123">
        <v>22159</v>
      </c>
      <c r="G950" s="123" t="s">
        <v>1985</v>
      </c>
    </row>
    <row r="951" spans="6:7" x14ac:dyDescent="0.2">
      <c r="F951" s="123">
        <v>22161</v>
      </c>
      <c r="G951" s="123" t="s">
        <v>1986</v>
      </c>
    </row>
    <row r="952" spans="6:7" x14ac:dyDescent="0.2">
      <c r="F952" s="123">
        <v>22165</v>
      </c>
      <c r="G952" s="123" t="s">
        <v>1987</v>
      </c>
    </row>
    <row r="953" spans="6:7" x14ac:dyDescent="0.2">
      <c r="F953" s="123">
        <v>22166</v>
      </c>
      <c r="G953" s="123" t="s">
        <v>1988</v>
      </c>
    </row>
    <row r="954" spans="6:7" x14ac:dyDescent="0.2">
      <c r="F954" s="123">
        <v>22168</v>
      </c>
      <c r="G954" s="123" t="s">
        <v>1989</v>
      </c>
    </row>
    <row r="955" spans="6:7" x14ac:dyDescent="0.2">
      <c r="F955" s="123">
        <v>22169</v>
      </c>
      <c r="G955" s="123" t="s">
        <v>1990</v>
      </c>
    </row>
    <row r="956" spans="6:7" x14ac:dyDescent="0.2">
      <c r="F956" s="123">
        <v>22171</v>
      </c>
      <c r="G956" s="123" t="s">
        <v>1991</v>
      </c>
    </row>
    <row r="957" spans="6:7" x14ac:dyDescent="0.2">
      <c r="F957" s="123">
        <v>22175</v>
      </c>
      <c r="G957" s="123" t="s">
        <v>1992</v>
      </c>
    </row>
    <row r="958" spans="6:7" x14ac:dyDescent="0.2">
      <c r="F958" s="123">
        <v>22185</v>
      </c>
      <c r="G958" s="123" t="s">
        <v>1993</v>
      </c>
    </row>
    <row r="959" spans="6:7" x14ac:dyDescent="0.2">
      <c r="F959" s="123">
        <v>22186</v>
      </c>
      <c r="G959" s="123" t="s">
        <v>1994</v>
      </c>
    </row>
    <row r="960" spans="6:7" x14ac:dyDescent="0.2">
      <c r="F960" s="123">
        <v>22198</v>
      </c>
      <c r="G960" s="123" t="s">
        <v>1995</v>
      </c>
    </row>
    <row r="961" spans="6:7" x14ac:dyDescent="0.2">
      <c r="F961" s="123">
        <v>22207</v>
      </c>
      <c r="G961" s="123" t="s">
        <v>1996</v>
      </c>
    </row>
    <row r="962" spans="6:7" x14ac:dyDescent="0.2">
      <c r="F962" s="123">
        <v>22214</v>
      </c>
      <c r="G962" s="123" t="s">
        <v>1997</v>
      </c>
    </row>
    <row r="963" spans="6:7" x14ac:dyDescent="0.2">
      <c r="F963" s="123">
        <v>22226</v>
      </c>
      <c r="G963" s="123" t="s">
        <v>1998</v>
      </c>
    </row>
    <row r="964" spans="6:7" x14ac:dyDescent="0.2">
      <c r="F964" s="123">
        <v>22231</v>
      </c>
      <c r="G964" s="123" t="s">
        <v>1999</v>
      </c>
    </row>
    <row r="965" spans="6:7" x14ac:dyDescent="0.2">
      <c r="F965" s="123">
        <v>22245</v>
      </c>
      <c r="G965" s="123" t="s">
        <v>2000</v>
      </c>
    </row>
    <row r="966" spans="6:7" x14ac:dyDescent="0.2">
      <c r="F966" s="123">
        <v>22263</v>
      </c>
      <c r="G966" s="123" t="s">
        <v>2001</v>
      </c>
    </row>
    <row r="967" spans="6:7" x14ac:dyDescent="0.2">
      <c r="F967" s="123">
        <v>22308</v>
      </c>
      <c r="G967" s="123" t="s">
        <v>2002</v>
      </c>
    </row>
    <row r="968" spans="6:7" x14ac:dyDescent="0.2">
      <c r="F968" s="123">
        <v>22351</v>
      </c>
      <c r="G968" s="123" t="s">
        <v>2003</v>
      </c>
    </row>
    <row r="969" spans="6:7" x14ac:dyDescent="0.2">
      <c r="F969" s="123">
        <v>22362</v>
      </c>
      <c r="G969" s="123" t="s">
        <v>2004</v>
      </c>
    </row>
    <row r="970" spans="6:7" x14ac:dyDescent="0.2">
      <c r="F970" s="123">
        <v>22446</v>
      </c>
      <c r="G970" s="123" t="s">
        <v>2005</v>
      </c>
    </row>
    <row r="971" spans="6:7" x14ac:dyDescent="0.2">
      <c r="F971" s="123">
        <v>22469</v>
      </c>
      <c r="G971" s="123" t="s">
        <v>2006</v>
      </c>
    </row>
    <row r="972" spans="6:7" x14ac:dyDescent="0.2">
      <c r="F972" s="123">
        <v>22485</v>
      </c>
      <c r="G972" s="123" t="s">
        <v>2007</v>
      </c>
    </row>
    <row r="973" spans="6:7" x14ac:dyDescent="0.2">
      <c r="F973" s="123">
        <v>22515</v>
      </c>
      <c r="G973" s="123" t="s">
        <v>2008</v>
      </c>
    </row>
    <row r="974" spans="6:7" x14ac:dyDescent="0.2">
      <c r="F974" s="123">
        <v>22534</v>
      </c>
      <c r="G974" s="123" t="s">
        <v>2009</v>
      </c>
    </row>
    <row r="975" spans="6:7" x14ac:dyDescent="0.2">
      <c r="F975" s="123">
        <v>22539</v>
      </c>
      <c r="G975" s="123" t="s">
        <v>2010</v>
      </c>
    </row>
    <row r="976" spans="6:7" x14ac:dyDescent="0.2">
      <c r="F976" s="123">
        <v>22554</v>
      </c>
      <c r="G976" s="123" t="s">
        <v>2011</v>
      </c>
    </row>
    <row r="977" spans="6:7" x14ac:dyDescent="0.2">
      <c r="F977" s="123">
        <v>22580</v>
      </c>
      <c r="G977" s="123" t="s">
        <v>2012</v>
      </c>
    </row>
    <row r="978" spans="6:7" x14ac:dyDescent="0.2">
      <c r="F978" s="123">
        <v>22581</v>
      </c>
      <c r="G978" s="123" t="s">
        <v>2013</v>
      </c>
    </row>
    <row r="979" spans="6:7" x14ac:dyDescent="0.2">
      <c r="F979" s="123">
        <v>22649</v>
      </c>
      <c r="G979" s="123" t="s">
        <v>2014</v>
      </c>
    </row>
    <row r="980" spans="6:7" x14ac:dyDescent="0.2">
      <c r="F980" s="123">
        <v>22682</v>
      </c>
      <c r="G980" s="123" t="s">
        <v>2015</v>
      </c>
    </row>
    <row r="981" spans="6:7" x14ac:dyDescent="0.2">
      <c r="F981" s="123">
        <v>22684</v>
      </c>
      <c r="G981" s="123" t="s">
        <v>2016</v>
      </c>
    </row>
    <row r="982" spans="6:7" x14ac:dyDescent="0.2">
      <c r="F982" s="123">
        <v>22686</v>
      </c>
      <c r="G982" s="123" t="s">
        <v>2017</v>
      </c>
    </row>
    <row r="983" spans="6:7" x14ac:dyDescent="0.2">
      <c r="F983" s="123">
        <v>22688</v>
      </c>
      <c r="G983" s="123" t="s">
        <v>2018</v>
      </c>
    </row>
    <row r="984" spans="6:7" x14ac:dyDescent="0.2">
      <c r="F984" s="123">
        <v>22691</v>
      </c>
      <c r="G984" s="123" t="s">
        <v>2019</v>
      </c>
    </row>
    <row r="985" spans="6:7" x14ac:dyDescent="0.2">
      <c r="F985" s="123">
        <v>22692</v>
      </c>
      <c r="G985" s="123" t="s">
        <v>2020</v>
      </c>
    </row>
    <row r="986" spans="6:7" x14ac:dyDescent="0.2">
      <c r="F986" s="123">
        <v>22693</v>
      </c>
      <c r="G986" s="123" t="s">
        <v>2021</v>
      </c>
    </row>
    <row r="987" spans="6:7" x14ac:dyDescent="0.2">
      <c r="F987" s="123">
        <v>22694</v>
      </c>
      <c r="G987" s="123" t="s">
        <v>2022</v>
      </c>
    </row>
    <row r="988" spans="6:7" x14ac:dyDescent="0.2">
      <c r="F988" s="123">
        <v>22696</v>
      </c>
      <c r="G988" s="123" t="s">
        <v>2023</v>
      </c>
    </row>
    <row r="989" spans="6:7" x14ac:dyDescent="0.2">
      <c r="F989" s="123">
        <v>22697</v>
      </c>
      <c r="G989" s="123" t="s">
        <v>2024</v>
      </c>
    </row>
    <row r="990" spans="6:7" x14ac:dyDescent="0.2">
      <c r="F990" s="123">
        <v>22698</v>
      </c>
      <c r="G990" s="123" t="s">
        <v>2025</v>
      </c>
    </row>
    <row r="991" spans="6:7" x14ac:dyDescent="0.2">
      <c r="F991" s="123">
        <v>22700</v>
      </c>
      <c r="G991" s="123" t="s">
        <v>2026</v>
      </c>
    </row>
    <row r="992" spans="6:7" x14ac:dyDescent="0.2">
      <c r="F992" s="123">
        <v>22701</v>
      </c>
      <c r="G992" s="123" t="s">
        <v>2027</v>
      </c>
    </row>
    <row r="993" spans="6:7" x14ac:dyDescent="0.2">
      <c r="F993" s="123">
        <v>22706</v>
      </c>
      <c r="G993" s="123" t="s">
        <v>2028</v>
      </c>
    </row>
    <row r="994" spans="6:7" x14ac:dyDescent="0.2">
      <c r="F994" s="123">
        <v>22711</v>
      </c>
      <c r="G994" s="123" t="s">
        <v>2029</v>
      </c>
    </row>
    <row r="995" spans="6:7" x14ac:dyDescent="0.2">
      <c r="F995" s="123">
        <v>22714</v>
      </c>
      <c r="G995" s="123" t="s">
        <v>2030</v>
      </c>
    </row>
    <row r="996" spans="6:7" x14ac:dyDescent="0.2">
      <c r="F996" s="123">
        <v>22719</v>
      </c>
      <c r="G996" s="123" t="s">
        <v>2031</v>
      </c>
    </row>
    <row r="997" spans="6:7" x14ac:dyDescent="0.2">
      <c r="F997" s="123">
        <v>22721</v>
      </c>
      <c r="G997" s="123" t="s">
        <v>2032</v>
      </c>
    </row>
    <row r="998" spans="6:7" x14ac:dyDescent="0.2">
      <c r="F998" s="123">
        <v>22723</v>
      </c>
      <c r="G998" s="123" t="s">
        <v>2033</v>
      </c>
    </row>
    <row r="999" spans="6:7" x14ac:dyDescent="0.2">
      <c r="F999" s="123">
        <v>22725</v>
      </c>
      <c r="G999" s="123" t="s">
        <v>2034</v>
      </c>
    </row>
    <row r="1000" spans="6:7" x14ac:dyDescent="0.2">
      <c r="F1000" s="123">
        <v>22728</v>
      </c>
      <c r="G1000" s="123" t="s">
        <v>2035</v>
      </c>
    </row>
    <row r="1001" spans="6:7" x14ac:dyDescent="0.2">
      <c r="F1001" s="123">
        <v>22729</v>
      </c>
      <c r="G1001" s="123" t="s">
        <v>2036</v>
      </c>
    </row>
    <row r="1002" spans="6:7" x14ac:dyDescent="0.2">
      <c r="F1002" s="123">
        <v>22734</v>
      </c>
      <c r="G1002" s="123" t="s">
        <v>2037</v>
      </c>
    </row>
    <row r="1003" spans="6:7" x14ac:dyDescent="0.2">
      <c r="F1003" s="123">
        <v>22737</v>
      </c>
      <c r="G1003" s="123" t="s">
        <v>2038</v>
      </c>
    </row>
    <row r="1004" spans="6:7" x14ac:dyDescent="0.2">
      <c r="F1004" s="123">
        <v>22743</v>
      </c>
      <c r="G1004" s="123" t="s">
        <v>2039</v>
      </c>
    </row>
    <row r="1005" spans="6:7" x14ac:dyDescent="0.2">
      <c r="F1005" s="123">
        <v>22745</v>
      </c>
      <c r="G1005" s="123" t="s">
        <v>2040</v>
      </c>
    </row>
    <row r="1006" spans="6:7" x14ac:dyDescent="0.2">
      <c r="F1006" s="123">
        <v>22746</v>
      </c>
      <c r="G1006" s="123" t="s">
        <v>2041</v>
      </c>
    </row>
    <row r="1007" spans="6:7" x14ac:dyDescent="0.2">
      <c r="F1007" s="123">
        <v>22747</v>
      </c>
      <c r="G1007" s="123" t="s">
        <v>2042</v>
      </c>
    </row>
    <row r="1008" spans="6:7" x14ac:dyDescent="0.2">
      <c r="F1008" s="123">
        <v>22749</v>
      </c>
      <c r="G1008" s="123" t="s">
        <v>2043</v>
      </c>
    </row>
    <row r="1009" spans="6:7" x14ac:dyDescent="0.2">
      <c r="F1009" s="123">
        <v>22751</v>
      </c>
      <c r="G1009" s="123" t="s">
        <v>2044</v>
      </c>
    </row>
    <row r="1010" spans="6:7" x14ac:dyDescent="0.2">
      <c r="F1010" s="123">
        <v>22753</v>
      </c>
      <c r="G1010" s="123" t="s">
        <v>2045</v>
      </c>
    </row>
    <row r="1011" spans="6:7" x14ac:dyDescent="0.2">
      <c r="F1011" s="123">
        <v>22754</v>
      </c>
      <c r="G1011" s="123" t="s">
        <v>2046</v>
      </c>
    </row>
    <row r="1012" spans="6:7" x14ac:dyDescent="0.2">
      <c r="F1012" s="123">
        <v>22755</v>
      </c>
      <c r="G1012" s="123" t="s">
        <v>2047</v>
      </c>
    </row>
    <row r="1013" spans="6:7" x14ac:dyDescent="0.2">
      <c r="F1013" s="123">
        <v>22757</v>
      </c>
      <c r="G1013" s="123" t="s">
        <v>2048</v>
      </c>
    </row>
    <row r="1014" spans="6:7" x14ac:dyDescent="0.2">
      <c r="F1014" s="123">
        <v>22763</v>
      </c>
      <c r="G1014" s="123" t="s">
        <v>2049</v>
      </c>
    </row>
    <row r="1015" spans="6:7" x14ac:dyDescent="0.2">
      <c r="F1015" s="123">
        <v>22764</v>
      </c>
      <c r="G1015" s="123" t="s">
        <v>2050</v>
      </c>
    </row>
    <row r="1016" spans="6:7" x14ac:dyDescent="0.2">
      <c r="F1016" s="123">
        <v>22765</v>
      </c>
      <c r="G1016" s="123" t="s">
        <v>2051</v>
      </c>
    </row>
    <row r="1017" spans="6:7" x14ac:dyDescent="0.2">
      <c r="F1017" s="123">
        <v>22766</v>
      </c>
      <c r="G1017" s="123" t="s">
        <v>2052</v>
      </c>
    </row>
    <row r="1018" spans="6:7" x14ac:dyDescent="0.2">
      <c r="F1018" s="123">
        <v>22770</v>
      </c>
      <c r="G1018" s="123" t="s">
        <v>2053</v>
      </c>
    </row>
    <row r="1019" spans="6:7" x14ac:dyDescent="0.2">
      <c r="F1019" s="123">
        <v>22775</v>
      </c>
      <c r="G1019" s="123" t="s">
        <v>2054</v>
      </c>
    </row>
    <row r="1020" spans="6:7" x14ac:dyDescent="0.2">
      <c r="F1020" s="123">
        <v>22777</v>
      </c>
      <c r="G1020" s="123" t="s">
        <v>2055</v>
      </c>
    </row>
    <row r="1021" spans="6:7" x14ac:dyDescent="0.2">
      <c r="F1021" s="123">
        <v>22778</v>
      </c>
      <c r="G1021" s="123" t="s">
        <v>2056</v>
      </c>
    </row>
    <row r="1022" spans="6:7" x14ac:dyDescent="0.2">
      <c r="F1022" s="123">
        <v>22780</v>
      </c>
      <c r="G1022" s="123" t="s">
        <v>2057</v>
      </c>
    </row>
    <row r="1023" spans="6:7" x14ac:dyDescent="0.2">
      <c r="F1023" s="123">
        <v>22781</v>
      </c>
      <c r="G1023" s="123" t="s">
        <v>2058</v>
      </c>
    </row>
    <row r="1024" spans="6:7" x14ac:dyDescent="0.2">
      <c r="F1024" s="123">
        <v>22782</v>
      </c>
      <c r="G1024" s="123" t="s">
        <v>2059</v>
      </c>
    </row>
    <row r="1025" spans="6:7" x14ac:dyDescent="0.2">
      <c r="F1025" s="123">
        <v>22785</v>
      </c>
      <c r="G1025" s="123" t="s">
        <v>2060</v>
      </c>
    </row>
    <row r="1026" spans="6:7" x14ac:dyDescent="0.2">
      <c r="F1026" s="123">
        <v>22786</v>
      </c>
      <c r="G1026" s="123" t="s">
        <v>2061</v>
      </c>
    </row>
    <row r="1027" spans="6:7" x14ac:dyDescent="0.2">
      <c r="F1027" s="123">
        <v>22787</v>
      </c>
      <c r="G1027" s="123" t="s">
        <v>2062</v>
      </c>
    </row>
    <row r="1028" spans="6:7" x14ac:dyDescent="0.2">
      <c r="F1028" s="123">
        <v>22788</v>
      </c>
      <c r="G1028" s="123" t="s">
        <v>2063</v>
      </c>
    </row>
    <row r="1029" spans="6:7" x14ac:dyDescent="0.2">
      <c r="F1029" s="123">
        <v>22789</v>
      </c>
      <c r="G1029" s="123" t="s">
        <v>2064</v>
      </c>
    </row>
    <row r="1030" spans="6:7" x14ac:dyDescent="0.2">
      <c r="F1030" s="123">
        <v>22790</v>
      </c>
      <c r="G1030" s="123" t="s">
        <v>2065</v>
      </c>
    </row>
    <row r="1031" spans="6:7" x14ac:dyDescent="0.2">
      <c r="F1031" s="123">
        <v>22793</v>
      </c>
      <c r="G1031" s="123" t="s">
        <v>2066</v>
      </c>
    </row>
    <row r="1032" spans="6:7" x14ac:dyDescent="0.2">
      <c r="F1032" s="123">
        <v>22794</v>
      </c>
      <c r="G1032" s="123" t="s">
        <v>2067</v>
      </c>
    </row>
    <row r="1033" spans="6:7" x14ac:dyDescent="0.2">
      <c r="F1033" s="123">
        <v>22796</v>
      </c>
      <c r="G1033" s="123" t="s">
        <v>2068</v>
      </c>
    </row>
    <row r="1034" spans="6:7" x14ac:dyDescent="0.2">
      <c r="F1034" s="123">
        <v>22799</v>
      </c>
      <c r="G1034" s="123" t="s">
        <v>2069</v>
      </c>
    </row>
    <row r="1035" spans="6:7" x14ac:dyDescent="0.2">
      <c r="F1035" s="123">
        <v>22804</v>
      </c>
      <c r="G1035" s="123" t="s">
        <v>2070</v>
      </c>
    </row>
    <row r="1036" spans="6:7" x14ac:dyDescent="0.2">
      <c r="F1036" s="123">
        <v>22807</v>
      </c>
      <c r="G1036" s="123" t="s">
        <v>2071</v>
      </c>
    </row>
    <row r="1037" spans="6:7" x14ac:dyDescent="0.2">
      <c r="F1037" s="123">
        <v>22808</v>
      </c>
      <c r="G1037" s="123" t="s">
        <v>2072</v>
      </c>
    </row>
    <row r="1038" spans="6:7" x14ac:dyDescent="0.2">
      <c r="F1038" s="123">
        <v>22809</v>
      </c>
      <c r="G1038" s="123" t="s">
        <v>2073</v>
      </c>
    </row>
    <row r="1039" spans="6:7" x14ac:dyDescent="0.2">
      <c r="F1039" s="123">
        <v>22811</v>
      </c>
      <c r="G1039" s="123" t="s">
        <v>2074</v>
      </c>
    </row>
    <row r="1040" spans="6:7" x14ac:dyDescent="0.2">
      <c r="F1040" s="123">
        <v>22812</v>
      </c>
      <c r="G1040" s="123" t="s">
        <v>2075</v>
      </c>
    </row>
    <row r="1041" spans="6:7" x14ac:dyDescent="0.2">
      <c r="F1041" s="123">
        <v>22813</v>
      </c>
      <c r="G1041" s="123" t="s">
        <v>2076</v>
      </c>
    </row>
    <row r="1042" spans="6:7" x14ac:dyDescent="0.2">
      <c r="F1042" s="123">
        <v>22814</v>
      </c>
      <c r="G1042" s="123" t="s">
        <v>2077</v>
      </c>
    </row>
    <row r="1043" spans="6:7" x14ac:dyDescent="0.2">
      <c r="F1043" s="123">
        <v>22815</v>
      </c>
      <c r="G1043" s="123" t="s">
        <v>2078</v>
      </c>
    </row>
    <row r="1044" spans="6:7" x14ac:dyDescent="0.2">
      <c r="F1044" s="123">
        <v>22819</v>
      </c>
      <c r="G1044" s="123" t="s">
        <v>2079</v>
      </c>
    </row>
    <row r="1045" spans="6:7" x14ac:dyDescent="0.2">
      <c r="F1045" s="123">
        <v>22820</v>
      </c>
      <c r="G1045" s="123" t="s">
        <v>2080</v>
      </c>
    </row>
    <row r="1046" spans="6:7" x14ac:dyDescent="0.2">
      <c r="F1046" s="123">
        <v>22822</v>
      </c>
      <c r="G1046" s="123" t="s">
        <v>2081</v>
      </c>
    </row>
    <row r="1047" spans="6:7" x14ac:dyDescent="0.2">
      <c r="F1047" s="123">
        <v>22823</v>
      </c>
      <c r="G1047" s="123" t="s">
        <v>2082</v>
      </c>
    </row>
    <row r="1048" spans="6:7" x14ac:dyDescent="0.2">
      <c r="F1048" s="123">
        <v>22825</v>
      </c>
      <c r="G1048" s="123" t="s">
        <v>2083</v>
      </c>
    </row>
    <row r="1049" spans="6:7" x14ac:dyDescent="0.2">
      <c r="F1049" s="123">
        <v>22826</v>
      </c>
      <c r="G1049" s="123" t="s">
        <v>2084</v>
      </c>
    </row>
    <row r="1050" spans="6:7" x14ac:dyDescent="0.2">
      <c r="F1050" s="123">
        <v>22829</v>
      </c>
      <c r="G1050" s="123" t="s">
        <v>2085</v>
      </c>
    </row>
    <row r="1051" spans="6:7" x14ac:dyDescent="0.2">
      <c r="F1051" s="123">
        <v>22831</v>
      </c>
      <c r="G1051" s="123" t="s">
        <v>2086</v>
      </c>
    </row>
    <row r="1052" spans="6:7" x14ac:dyDescent="0.2">
      <c r="F1052" s="123">
        <v>22837</v>
      </c>
      <c r="G1052" s="123" t="s">
        <v>2087</v>
      </c>
    </row>
    <row r="1053" spans="6:7" x14ac:dyDescent="0.2">
      <c r="F1053" s="123">
        <v>22839</v>
      </c>
      <c r="G1053" s="123" t="s">
        <v>2088</v>
      </c>
    </row>
    <row r="1054" spans="6:7" x14ac:dyDescent="0.2">
      <c r="F1054" s="123">
        <v>22841</v>
      </c>
      <c r="G1054" s="123" t="s">
        <v>2089</v>
      </c>
    </row>
    <row r="1055" spans="6:7" x14ac:dyDescent="0.2">
      <c r="F1055" s="123">
        <v>22843</v>
      </c>
      <c r="G1055" s="123" t="s">
        <v>2090</v>
      </c>
    </row>
    <row r="1056" spans="6:7" x14ac:dyDescent="0.2">
      <c r="F1056" s="123">
        <v>22844</v>
      </c>
      <c r="G1056" s="123" t="s">
        <v>2091</v>
      </c>
    </row>
    <row r="1057" spans="6:7" x14ac:dyDescent="0.2">
      <c r="F1057" s="123">
        <v>22845</v>
      </c>
      <c r="G1057" s="123" t="s">
        <v>2092</v>
      </c>
    </row>
    <row r="1058" spans="6:7" x14ac:dyDescent="0.2">
      <c r="F1058" s="123">
        <v>22846</v>
      </c>
      <c r="G1058" s="123" t="s">
        <v>2093</v>
      </c>
    </row>
    <row r="1059" spans="6:7" x14ac:dyDescent="0.2">
      <c r="F1059" s="123">
        <v>22849</v>
      </c>
      <c r="G1059" s="123" t="s">
        <v>2094</v>
      </c>
    </row>
    <row r="1060" spans="6:7" x14ac:dyDescent="0.2">
      <c r="F1060" s="123">
        <v>22852</v>
      </c>
      <c r="G1060" s="123" t="s">
        <v>2095</v>
      </c>
    </row>
    <row r="1061" spans="6:7" x14ac:dyDescent="0.2">
      <c r="F1061" s="123">
        <v>22855</v>
      </c>
      <c r="G1061" s="123" t="s">
        <v>2096</v>
      </c>
    </row>
    <row r="1062" spans="6:7" x14ac:dyDescent="0.2">
      <c r="F1062" s="123">
        <v>22856</v>
      </c>
      <c r="G1062" s="123" t="s">
        <v>2097</v>
      </c>
    </row>
    <row r="1063" spans="6:7" x14ac:dyDescent="0.2">
      <c r="F1063" s="123">
        <v>22858</v>
      </c>
      <c r="G1063" s="123" t="s">
        <v>2098</v>
      </c>
    </row>
    <row r="1064" spans="6:7" x14ac:dyDescent="0.2">
      <c r="F1064" s="123">
        <v>22859</v>
      </c>
      <c r="G1064" s="123" t="s">
        <v>2099</v>
      </c>
    </row>
    <row r="1065" spans="6:7" x14ac:dyDescent="0.2">
      <c r="F1065" s="123">
        <v>22860</v>
      </c>
      <c r="G1065" s="123" t="s">
        <v>2100</v>
      </c>
    </row>
    <row r="1066" spans="6:7" x14ac:dyDescent="0.2">
      <c r="F1066" s="123">
        <v>22863</v>
      </c>
      <c r="G1066" s="123" t="s">
        <v>2101</v>
      </c>
    </row>
    <row r="1067" spans="6:7" x14ac:dyDescent="0.2">
      <c r="F1067" s="123">
        <v>22867</v>
      </c>
      <c r="G1067" s="123" t="s">
        <v>2102</v>
      </c>
    </row>
    <row r="1068" spans="6:7" x14ac:dyDescent="0.2">
      <c r="F1068" s="123">
        <v>22869</v>
      </c>
      <c r="G1068" s="123" t="s">
        <v>2103</v>
      </c>
    </row>
    <row r="1069" spans="6:7" x14ac:dyDescent="0.2">
      <c r="F1069" s="123">
        <v>22870</v>
      </c>
      <c r="G1069" s="123" t="s">
        <v>2104</v>
      </c>
    </row>
    <row r="1070" spans="6:7" x14ac:dyDescent="0.2">
      <c r="F1070" s="123">
        <v>22877</v>
      </c>
      <c r="G1070" s="123" t="s">
        <v>2105</v>
      </c>
    </row>
    <row r="1071" spans="6:7" x14ac:dyDescent="0.2">
      <c r="F1071" s="123">
        <v>22878</v>
      </c>
      <c r="G1071" s="123" t="s">
        <v>2106</v>
      </c>
    </row>
    <row r="1072" spans="6:7" x14ac:dyDescent="0.2">
      <c r="F1072" s="123">
        <v>22889</v>
      </c>
      <c r="G1072" s="123" t="s">
        <v>2107</v>
      </c>
    </row>
    <row r="1073" spans="6:7" x14ac:dyDescent="0.2">
      <c r="F1073" s="123">
        <v>22890</v>
      </c>
      <c r="G1073" s="123" t="s">
        <v>2108</v>
      </c>
    </row>
    <row r="1074" spans="6:7" x14ac:dyDescent="0.2">
      <c r="F1074" s="123">
        <v>22898</v>
      </c>
      <c r="G1074" s="123" t="s">
        <v>2109</v>
      </c>
    </row>
    <row r="1075" spans="6:7" x14ac:dyDescent="0.2">
      <c r="F1075" s="123">
        <v>22899</v>
      </c>
      <c r="G1075" s="123" t="s">
        <v>2110</v>
      </c>
    </row>
    <row r="1076" spans="6:7" x14ac:dyDescent="0.2">
      <c r="F1076" s="123">
        <v>22900</v>
      </c>
      <c r="G1076" s="123" t="s">
        <v>2111</v>
      </c>
    </row>
    <row r="1077" spans="6:7" x14ac:dyDescent="0.2">
      <c r="F1077" s="123">
        <v>22904</v>
      </c>
      <c r="G1077" s="123" t="s">
        <v>2112</v>
      </c>
    </row>
    <row r="1078" spans="6:7" x14ac:dyDescent="0.2">
      <c r="F1078" s="123">
        <v>22906</v>
      </c>
      <c r="G1078" s="123" t="s">
        <v>2113</v>
      </c>
    </row>
    <row r="1079" spans="6:7" x14ac:dyDescent="0.2">
      <c r="F1079" s="123">
        <v>22910</v>
      </c>
      <c r="G1079" s="123" t="s">
        <v>2114</v>
      </c>
    </row>
    <row r="1080" spans="6:7" x14ac:dyDescent="0.2">
      <c r="F1080" s="123">
        <v>22912</v>
      </c>
      <c r="G1080" s="123" t="s">
        <v>2115</v>
      </c>
    </row>
    <row r="1081" spans="6:7" x14ac:dyDescent="0.2">
      <c r="F1081" s="123">
        <v>22916</v>
      </c>
      <c r="G1081" s="123" t="s">
        <v>2116</v>
      </c>
    </row>
    <row r="1082" spans="6:7" x14ac:dyDescent="0.2">
      <c r="F1082" s="123">
        <v>22919</v>
      </c>
      <c r="G1082" s="123" t="s">
        <v>2117</v>
      </c>
    </row>
    <row r="1083" spans="6:7" x14ac:dyDescent="0.2">
      <c r="F1083" s="123">
        <v>22920</v>
      </c>
      <c r="G1083" s="123" t="s">
        <v>2118</v>
      </c>
    </row>
    <row r="1084" spans="6:7" x14ac:dyDescent="0.2">
      <c r="F1084" s="123">
        <v>22921</v>
      </c>
      <c r="G1084" s="123" t="s">
        <v>2119</v>
      </c>
    </row>
    <row r="1085" spans="6:7" x14ac:dyDescent="0.2">
      <c r="F1085" s="123">
        <v>22923</v>
      </c>
      <c r="G1085" s="123" t="s">
        <v>2120</v>
      </c>
    </row>
    <row r="1086" spans="6:7" x14ac:dyDescent="0.2">
      <c r="F1086" s="123">
        <v>22925</v>
      </c>
      <c r="G1086" s="123" t="s">
        <v>2121</v>
      </c>
    </row>
    <row r="1087" spans="6:7" x14ac:dyDescent="0.2">
      <c r="F1087" s="123">
        <v>22928</v>
      </c>
      <c r="G1087" s="123" t="s">
        <v>2122</v>
      </c>
    </row>
    <row r="1088" spans="6:7" x14ac:dyDescent="0.2">
      <c r="F1088" s="123">
        <v>22930</v>
      </c>
      <c r="G1088" s="123" t="s">
        <v>2123</v>
      </c>
    </row>
    <row r="1089" spans="6:7" x14ac:dyDescent="0.2">
      <c r="F1089" s="123">
        <v>22932</v>
      </c>
      <c r="G1089" s="123" t="s">
        <v>2124</v>
      </c>
    </row>
    <row r="1090" spans="6:7" x14ac:dyDescent="0.2">
      <c r="F1090" s="123">
        <v>22934</v>
      </c>
      <c r="G1090" s="123" t="s">
        <v>2125</v>
      </c>
    </row>
    <row r="1091" spans="6:7" x14ac:dyDescent="0.2">
      <c r="F1091" s="123">
        <v>22936</v>
      </c>
      <c r="G1091" s="123" t="s">
        <v>2126</v>
      </c>
    </row>
    <row r="1092" spans="6:7" x14ac:dyDescent="0.2">
      <c r="F1092" s="123">
        <v>22938</v>
      </c>
      <c r="G1092" s="123" t="s">
        <v>2127</v>
      </c>
    </row>
    <row r="1093" spans="6:7" x14ac:dyDescent="0.2">
      <c r="F1093" s="123">
        <v>22940</v>
      </c>
      <c r="G1093" s="123" t="s">
        <v>2128</v>
      </c>
    </row>
    <row r="1094" spans="6:7" x14ac:dyDescent="0.2">
      <c r="F1094" s="123">
        <v>22943</v>
      </c>
      <c r="G1094" s="123" t="s">
        <v>2129</v>
      </c>
    </row>
    <row r="1095" spans="6:7" x14ac:dyDescent="0.2">
      <c r="F1095" s="123">
        <v>22944</v>
      </c>
      <c r="G1095" s="123" t="s">
        <v>2130</v>
      </c>
    </row>
    <row r="1096" spans="6:7" x14ac:dyDescent="0.2">
      <c r="F1096" s="123">
        <v>22952</v>
      </c>
      <c r="G1096" s="123" t="s">
        <v>2131</v>
      </c>
    </row>
    <row r="1097" spans="6:7" x14ac:dyDescent="0.2">
      <c r="F1097" s="123">
        <v>22956</v>
      </c>
      <c r="G1097" s="123" t="s">
        <v>2132</v>
      </c>
    </row>
    <row r="1098" spans="6:7" x14ac:dyDescent="0.2">
      <c r="F1098" s="123">
        <v>22957</v>
      </c>
      <c r="G1098" s="123" t="s">
        <v>2133</v>
      </c>
    </row>
    <row r="1099" spans="6:7" x14ac:dyDescent="0.2">
      <c r="F1099" s="123">
        <v>22962</v>
      </c>
      <c r="G1099" s="123" t="s">
        <v>2134</v>
      </c>
    </row>
    <row r="1100" spans="6:7" x14ac:dyDescent="0.2">
      <c r="F1100" s="123">
        <v>22965</v>
      </c>
      <c r="G1100" s="123" t="s">
        <v>2135</v>
      </c>
    </row>
    <row r="1101" spans="6:7" x14ac:dyDescent="0.2">
      <c r="F1101" s="123">
        <v>22967</v>
      </c>
      <c r="G1101" s="123" t="s">
        <v>2136</v>
      </c>
    </row>
    <row r="1102" spans="6:7" x14ac:dyDescent="0.2">
      <c r="F1102" s="123">
        <v>22990</v>
      </c>
      <c r="G1102" s="123" t="s">
        <v>2137</v>
      </c>
    </row>
    <row r="1103" spans="6:7" x14ac:dyDescent="0.2">
      <c r="F1103" s="123">
        <v>22995</v>
      </c>
      <c r="G1103" s="123" t="s">
        <v>2138</v>
      </c>
    </row>
    <row r="1104" spans="6:7" x14ac:dyDescent="0.2">
      <c r="F1104" s="123">
        <v>22999</v>
      </c>
      <c r="G1104" s="123" t="s">
        <v>2139</v>
      </c>
    </row>
    <row r="1105" spans="6:7" x14ac:dyDescent="0.2">
      <c r="F1105" s="123">
        <v>23002</v>
      </c>
      <c r="G1105" s="123" t="s">
        <v>2140</v>
      </c>
    </row>
    <row r="1106" spans="6:7" x14ac:dyDescent="0.2">
      <c r="F1106" s="123">
        <v>23007</v>
      </c>
      <c r="G1106" s="123" t="s">
        <v>2141</v>
      </c>
    </row>
    <row r="1107" spans="6:7" x14ac:dyDescent="0.2">
      <c r="F1107" s="123">
        <v>23010</v>
      </c>
      <c r="G1107" s="123" t="s">
        <v>2142</v>
      </c>
    </row>
    <row r="1108" spans="6:7" x14ac:dyDescent="0.2">
      <c r="F1108" s="123">
        <v>23018</v>
      </c>
      <c r="G1108" s="123" t="s">
        <v>2143</v>
      </c>
    </row>
    <row r="1109" spans="6:7" x14ac:dyDescent="0.2">
      <c r="F1109" s="123">
        <v>23020</v>
      </c>
      <c r="G1109" s="123" t="s">
        <v>2144</v>
      </c>
    </row>
    <row r="1110" spans="6:7" x14ac:dyDescent="0.2">
      <c r="F1110" s="123">
        <v>23022</v>
      </c>
      <c r="G1110" s="123" t="s">
        <v>2145</v>
      </c>
    </row>
    <row r="1111" spans="6:7" x14ac:dyDescent="0.2">
      <c r="F1111" s="123">
        <v>23032</v>
      </c>
      <c r="G1111" s="123" t="s">
        <v>2146</v>
      </c>
    </row>
    <row r="1112" spans="6:7" x14ac:dyDescent="0.2">
      <c r="F1112" s="123">
        <v>23038</v>
      </c>
      <c r="G1112" s="123" t="s">
        <v>2147</v>
      </c>
    </row>
    <row r="1113" spans="6:7" x14ac:dyDescent="0.2">
      <c r="F1113" s="123">
        <v>23042</v>
      </c>
      <c r="G1113" s="123" t="s">
        <v>2148</v>
      </c>
    </row>
    <row r="1114" spans="6:7" x14ac:dyDescent="0.2">
      <c r="F1114" s="123">
        <v>23044</v>
      </c>
      <c r="G1114" s="123" t="s">
        <v>2149</v>
      </c>
    </row>
    <row r="1115" spans="6:7" x14ac:dyDescent="0.2">
      <c r="F1115" s="123">
        <v>23068</v>
      </c>
      <c r="G1115" s="123" t="s">
        <v>2150</v>
      </c>
    </row>
    <row r="1116" spans="6:7" x14ac:dyDescent="0.2">
      <c r="F1116" s="123">
        <v>23082</v>
      </c>
      <c r="G1116" s="123" t="s">
        <v>2151</v>
      </c>
    </row>
    <row r="1117" spans="6:7" x14ac:dyDescent="0.2">
      <c r="F1117" s="123">
        <v>23092</v>
      </c>
      <c r="G1117" s="123" t="s">
        <v>2152</v>
      </c>
    </row>
    <row r="1118" spans="6:7" x14ac:dyDescent="0.2">
      <c r="F1118" s="123">
        <v>23097</v>
      </c>
      <c r="G1118" s="123" t="s">
        <v>2153</v>
      </c>
    </row>
    <row r="1119" spans="6:7" x14ac:dyDescent="0.2">
      <c r="F1119" s="123">
        <v>23098</v>
      </c>
      <c r="G1119" s="123" t="s">
        <v>2154</v>
      </c>
    </row>
    <row r="1120" spans="6:7" x14ac:dyDescent="0.2">
      <c r="F1120" s="123">
        <v>23113</v>
      </c>
      <c r="G1120" s="123" t="s">
        <v>2155</v>
      </c>
    </row>
    <row r="1121" spans="6:7" x14ac:dyDescent="0.2">
      <c r="F1121" s="123">
        <v>23137</v>
      </c>
      <c r="G1121" s="123" t="s">
        <v>2156</v>
      </c>
    </row>
    <row r="1122" spans="6:7" x14ac:dyDescent="0.2">
      <c r="F1122" s="123">
        <v>23146</v>
      </c>
      <c r="G1122" s="123" t="s">
        <v>2157</v>
      </c>
    </row>
    <row r="1123" spans="6:7" x14ac:dyDescent="0.2">
      <c r="F1123" s="123">
        <v>23150</v>
      </c>
      <c r="G1123" s="123" t="s">
        <v>2158</v>
      </c>
    </row>
    <row r="1124" spans="6:7" x14ac:dyDescent="0.2">
      <c r="F1124" s="123">
        <v>23186</v>
      </c>
      <c r="G1124" s="123" t="s">
        <v>2159</v>
      </c>
    </row>
    <row r="1125" spans="6:7" x14ac:dyDescent="0.2">
      <c r="F1125" s="123">
        <v>23354</v>
      </c>
      <c r="G1125" s="123" t="s">
        <v>2160</v>
      </c>
    </row>
    <row r="1126" spans="6:7" x14ac:dyDescent="0.2">
      <c r="F1126" s="123">
        <v>23586</v>
      </c>
      <c r="G1126" s="123" t="s">
        <v>2161</v>
      </c>
    </row>
    <row r="1127" spans="6:7" x14ac:dyDescent="0.2">
      <c r="F1127" s="123">
        <v>23698</v>
      </c>
      <c r="G1127" s="123" t="s">
        <v>2162</v>
      </c>
    </row>
    <row r="1128" spans="6:7" x14ac:dyDescent="0.2">
      <c r="F1128" s="123">
        <v>23717</v>
      </c>
      <c r="G1128" s="123" t="s">
        <v>2163</v>
      </c>
    </row>
    <row r="1129" spans="6:7" x14ac:dyDescent="0.2">
      <c r="F1129" s="123">
        <v>23724</v>
      </c>
      <c r="G1129" s="123" t="s">
        <v>2164</v>
      </c>
    </row>
    <row r="1130" spans="6:7" x14ac:dyDescent="0.2">
      <c r="F1130" s="123">
        <v>23782</v>
      </c>
      <c r="G1130" s="123" t="s">
        <v>2165</v>
      </c>
    </row>
    <row r="1131" spans="6:7" x14ac:dyDescent="0.2">
      <c r="F1131" s="123">
        <v>23791</v>
      </c>
      <c r="G1131" s="123" t="s">
        <v>2166</v>
      </c>
    </row>
    <row r="1132" spans="6:7" x14ac:dyDescent="0.2">
      <c r="F1132" s="123">
        <v>23798</v>
      </c>
      <c r="G1132" s="123" t="s">
        <v>2167</v>
      </c>
    </row>
    <row r="1133" spans="6:7" x14ac:dyDescent="0.2">
      <c r="F1133" s="123">
        <v>23800</v>
      </c>
      <c r="G1133" s="123" t="s">
        <v>2168</v>
      </c>
    </row>
    <row r="1134" spans="6:7" x14ac:dyDescent="0.2">
      <c r="F1134" s="123">
        <v>23804</v>
      </c>
      <c r="G1134" s="123" t="s">
        <v>2169</v>
      </c>
    </row>
    <row r="1135" spans="6:7" x14ac:dyDescent="0.2">
      <c r="F1135" s="123">
        <v>23806</v>
      </c>
      <c r="G1135" s="123" t="s">
        <v>2170</v>
      </c>
    </row>
    <row r="1136" spans="6:7" x14ac:dyDescent="0.2">
      <c r="F1136" s="123">
        <v>23807</v>
      </c>
      <c r="G1136" s="123" t="s">
        <v>2171</v>
      </c>
    </row>
    <row r="1137" spans="6:7" x14ac:dyDescent="0.2">
      <c r="F1137" s="123">
        <v>23808</v>
      </c>
      <c r="G1137" s="123" t="s">
        <v>2172</v>
      </c>
    </row>
    <row r="1138" spans="6:7" x14ac:dyDescent="0.2">
      <c r="F1138" s="123">
        <v>23814</v>
      </c>
      <c r="G1138" s="123" t="s">
        <v>2173</v>
      </c>
    </row>
    <row r="1139" spans="6:7" x14ac:dyDescent="0.2">
      <c r="F1139" s="123">
        <v>23818</v>
      </c>
      <c r="G1139" s="123" t="s">
        <v>2174</v>
      </c>
    </row>
    <row r="1140" spans="6:7" x14ac:dyDescent="0.2">
      <c r="F1140" s="123">
        <v>23819</v>
      </c>
      <c r="G1140" s="123" t="s">
        <v>2175</v>
      </c>
    </row>
    <row r="1141" spans="6:7" x14ac:dyDescent="0.2">
      <c r="F1141" s="123">
        <v>23826</v>
      </c>
      <c r="G1141" s="123" t="s">
        <v>2176</v>
      </c>
    </row>
    <row r="1142" spans="6:7" x14ac:dyDescent="0.2">
      <c r="F1142" s="123">
        <v>23833</v>
      </c>
      <c r="G1142" s="123" t="s">
        <v>2177</v>
      </c>
    </row>
    <row r="1143" spans="6:7" x14ac:dyDescent="0.2">
      <c r="F1143" s="123">
        <v>23835</v>
      </c>
      <c r="G1143" s="123" t="s">
        <v>2178</v>
      </c>
    </row>
    <row r="1144" spans="6:7" x14ac:dyDescent="0.2">
      <c r="F1144" s="123">
        <v>23837</v>
      </c>
      <c r="G1144" s="123" t="s">
        <v>2179</v>
      </c>
    </row>
    <row r="1145" spans="6:7" x14ac:dyDescent="0.2">
      <c r="F1145" s="123">
        <v>23838</v>
      </c>
      <c r="G1145" s="123" t="s">
        <v>2180</v>
      </c>
    </row>
    <row r="1146" spans="6:7" x14ac:dyDescent="0.2">
      <c r="F1146" s="123">
        <v>23839</v>
      </c>
      <c r="G1146" s="123" t="s">
        <v>2181</v>
      </c>
    </row>
    <row r="1147" spans="6:7" x14ac:dyDescent="0.2">
      <c r="F1147" s="123">
        <v>23841</v>
      </c>
      <c r="G1147" s="123" t="s">
        <v>2182</v>
      </c>
    </row>
    <row r="1148" spans="6:7" x14ac:dyDescent="0.2">
      <c r="F1148" s="123">
        <v>23843</v>
      </c>
      <c r="G1148" s="123" t="s">
        <v>2183</v>
      </c>
    </row>
    <row r="1149" spans="6:7" x14ac:dyDescent="0.2">
      <c r="F1149" s="123">
        <v>23845</v>
      </c>
      <c r="G1149" s="123" t="s">
        <v>2184</v>
      </c>
    </row>
    <row r="1150" spans="6:7" x14ac:dyDescent="0.2">
      <c r="F1150" s="123">
        <v>23846</v>
      </c>
      <c r="G1150" s="123" t="s">
        <v>2185</v>
      </c>
    </row>
    <row r="1151" spans="6:7" x14ac:dyDescent="0.2">
      <c r="F1151" s="123">
        <v>23849</v>
      </c>
      <c r="G1151" s="123" t="s">
        <v>2186</v>
      </c>
    </row>
    <row r="1152" spans="6:7" x14ac:dyDescent="0.2">
      <c r="F1152" s="123">
        <v>23850</v>
      </c>
      <c r="G1152" s="123" t="s">
        <v>2187</v>
      </c>
    </row>
    <row r="1153" spans="6:7" x14ac:dyDescent="0.2">
      <c r="F1153" s="123">
        <v>23855</v>
      </c>
      <c r="G1153" s="123" t="s">
        <v>2188</v>
      </c>
    </row>
    <row r="1154" spans="6:7" x14ac:dyDescent="0.2">
      <c r="F1154" s="123">
        <v>23859</v>
      </c>
      <c r="G1154" s="123" t="s">
        <v>2189</v>
      </c>
    </row>
    <row r="1155" spans="6:7" x14ac:dyDescent="0.2">
      <c r="F1155" s="123">
        <v>23860</v>
      </c>
      <c r="G1155" s="123" t="s">
        <v>2190</v>
      </c>
    </row>
    <row r="1156" spans="6:7" x14ac:dyDescent="0.2">
      <c r="F1156" s="123">
        <v>23861</v>
      </c>
      <c r="G1156" s="123" t="s">
        <v>2191</v>
      </c>
    </row>
    <row r="1157" spans="6:7" x14ac:dyDescent="0.2">
      <c r="F1157" s="123">
        <v>23862</v>
      </c>
      <c r="G1157" s="123" t="s">
        <v>2192</v>
      </c>
    </row>
    <row r="1158" spans="6:7" x14ac:dyDescent="0.2">
      <c r="F1158" s="123">
        <v>23863</v>
      </c>
      <c r="G1158" s="123" t="s">
        <v>2193</v>
      </c>
    </row>
    <row r="1159" spans="6:7" x14ac:dyDescent="0.2">
      <c r="F1159" s="123">
        <v>23865</v>
      </c>
      <c r="G1159" s="123" t="s">
        <v>2194</v>
      </c>
    </row>
    <row r="1160" spans="6:7" x14ac:dyDescent="0.2">
      <c r="F1160" s="123">
        <v>23868</v>
      </c>
      <c r="G1160" s="123" t="s">
        <v>2195</v>
      </c>
    </row>
    <row r="1161" spans="6:7" x14ac:dyDescent="0.2">
      <c r="F1161" s="123">
        <v>23873</v>
      </c>
      <c r="G1161" s="123" t="s">
        <v>2196</v>
      </c>
    </row>
    <row r="1162" spans="6:7" x14ac:dyDescent="0.2">
      <c r="F1162" s="123">
        <v>23875</v>
      </c>
      <c r="G1162" s="123" t="s">
        <v>2197</v>
      </c>
    </row>
    <row r="1163" spans="6:7" x14ac:dyDescent="0.2">
      <c r="F1163" s="123">
        <v>23878</v>
      </c>
      <c r="G1163" s="123" t="s">
        <v>2198</v>
      </c>
    </row>
    <row r="1164" spans="6:7" x14ac:dyDescent="0.2">
      <c r="F1164" s="123">
        <v>23879</v>
      </c>
      <c r="G1164" s="123" t="s">
        <v>2199</v>
      </c>
    </row>
    <row r="1165" spans="6:7" x14ac:dyDescent="0.2">
      <c r="F1165" s="123">
        <v>23880</v>
      </c>
      <c r="G1165" s="123" t="s">
        <v>2200</v>
      </c>
    </row>
    <row r="1166" spans="6:7" x14ac:dyDescent="0.2">
      <c r="F1166" s="123">
        <v>23881</v>
      </c>
      <c r="G1166" s="123" t="s">
        <v>2201</v>
      </c>
    </row>
    <row r="1167" spans="6:7" x14ac:dyDescent="0.2">
      <c r="F1167" s="123">
        <v>23883</v>
      </c>
      <c r="G1167" s="123" t="s">
        <v>2202</v>
      </c>
    </row>
    <row r="1168" spans="6:7" x14ac:dyDescent="0.2">
      <c r="F1168" s="123">
        <v>23888</v>
      </c>
      <c r="G1168" s="123" t="s">
        <v>2203</v>
      </c>
    </row>
    <row r="1169" spans="6:7" x14ac:dyDescent="0.2">
      <c r="F1169" s="123">
        <v>23891</v>
      </c>
      <c r="G1169" s="123" t="s">
        <v>2204</v>
      </c>
    </row>
    <row r="1170" spans="6:7" x14ac:dyDescent="0.2">
      <c r="F1170" s="123">
        <v>23893</v>
      </c>
      <c r="G1170" s="123" t="s">
        <v>2205</v>
      </c>
    </row>
    <row r="1171" spans="6:7" x14ac:dyDescent="0.2">
      <c r="F1171" s="123">
        <v>23894</v>
      </c>
      <c r="G1171" s="123" t="s">
        <v>2206</v>
      </c>
    </row>
    <row r="1172" spans="6:7" x14ac:dyDescent="0.2">
      <c r="F1172" s="123">
        <v>23904</v>
      </c>
      <c r="G1172" s="123" t="s">
        <v>2207</v>
      </c>
    </row>
    <row r="1173" spans="6:7" x14ac:dyDescent="0.2">
      <c r="F1173" s="123">
        <v>23906</v>
      </c>
      <c r="G1173" s="123" t="s">
        <v>2208</v>
      </c>
    </row>
    <row r="1174" spans="6:7" x14ac:dyDescent="0.2">
      <c r="F1174" s="123">
        <v>23907</v>
      </c>
      <c r="G1174" s="123" t="s">
        <v>2209</v>
      </c>
    </row>
    <row r="1175" spans="6:7" x14ac:dyDescent="0.2">
      <c r="F1175" s="123">
        <v>23910</v>
      </c>
      <c r="G1175" s="123" t="s">
        <v>2210</v>
      </c>
    </row>
    <row r="1176" spans="6:7" x14ac:dyDescent="0.2">
      <c r="F1176" s="123">
        <v>23911</v>
      </c>
      <c r="G1176" s="123" t="s">
        <v>2211</v>
      </c>
    </row>
    <row r="1177" spans="6:7" x14ac:dyDescent="0.2">
      <c r="F1177" s="123">
        <v>23914</v>
      </c>
      <c r="G1177" s="123" t="s">
        <v>2212</v>
      </c>
    </row>
    <row r="1178" spans="6:7" x14ac:dyDescent="0.2">
      <c r="F1178" s="123">
        <v>23917</v>
      </c>
      <c r="G1178" s="123" t="s">
        <v>2213</v>
      </c>
    </row>
    <row r="1179" spans="6:7" x14ac:dyDescent="0.2">
      <c r="F1179" s="123">
        <v>23918</v>
      </c>
      <c r="G1179" s="123" t="s">
        <v>2214</v>
      </c>
    </row>
    <row r="1180" spans="6:7" x14ac:dyDescent="0.2">
      <c r="F1180" s="123">
        <v>23920</v>
      </c>
      <c r="G1180" s="123" t="s">
        <v>2215</v>
      </c>
    </row>
    <row r="1181" spans="6:7" x14ac:dyDescent="0.2">
      <c r="F1181" s="123">
        <v>23922</v>
      </c>
      <c r="G1181" s="123" t="s">
        <v>2216</v>
      </c>
    </row>
    <row r="1182" spans="6:7" x14ac:dyDescent="0.2">
      <c r="F1182" s="123">
        <v>23926</v>
      </c>
      <c r="G1182" s="123" t="s">
        <v>2217</v>
      </c>
    </row>
    <row r="1183" spans="6:7" x14ac:dyDescent="0.2">
      <c r="F1183" s="123">
        <v>23927</v>
      </c>
      <c r="G1183" s="123" t="s">
        <v>2218</v>
      </c>
    </row>
    <row r="1184" spans="6:7" x14ac:dyDescent="0.2">
      <c r="F1184" s="123">
        <v>23934</v>
      </c>
      <c r="G1184" s="123" t="s">
        <v>2219</v>
      </c>
    </row>
    <row r="1185" spans="6:7" x14ac:dyDescent="0.2">
      <c r="F1185" s="123">
        <v>23935</v>
      </c>
      <c r="G1185" s="123" t="s">
        <v>2220</v>
      </c>
    </row>
    <row r="1186" spans="6:7" x14ac:dyDescent="0.2">
      <c r="F1186" s="123">
        <v>23940</v>
      </c>
      <c r="G1186" s="123" t="s">
        <v>2221</v>
      </c>
    </row>
    <row r="1187" spans="6:7" x14ac:dyDescent="0.2">
      <c r="F1187" s="123">
        <v>23943</v>
      </c>
      <c r="G1187" s="123" t="s">
        <v>2222</v>
      </c>
    </row>
    <row r="1188" spans="6:7" x14ac:dyDescent="0.2">
      <c r="F1188" s="123">
        <v>23948</v>
      </c>
      <c r="G1188" s="123" t="s">
        <v>2223</v>
      </c>
    </row>
    <row r="1189" spans="6:7" x14ac:dyDescent="0.2">
      <c r="F1189" s="123">
        <v>23949</v>
      </c>
      <c r="G1189" s="123" t="s">
        <v>2224</v>
      </c>
    </row>
    <row r="1190" spans="6:7" x14ac:dyDescent="0.2">
      <c r="F1190" s="123">
        <v>23952</v>
      </c>
      <c r="G1190" s="123" t="s">
        <v>2225</v>
      </c>
    </row>
    <row r="1191" spans="6:7" x14ac:dyDescent="0.2">
      <c r="F1191" s="123">
        <v>23953</v>
      </c>
      <c r="G1191" s="123" t="s">
        <v>2226</v>
      </c>
    </row>
    <row r="1192" spans="6:7" x14ac:dyDescent="0.2">
      <c r="F1192" s="123">
        <v>23965</v>
      </c>
      <c r="G1192" s="123" t="s">
        <v>2227</v>
      </c>
    </row>
    <row r="1193" spans="6:7" x14ac:dyDescent="0.2">
      <c r="F1193" s="123">
        <v>23966</v>
      </c>
      <c r="G1193" s="123" t="s">
        <v>2228</v>
      </c>
    </row>
    <row r="1194" spans="6:7" x14ac:dyDescent="0.2">
      <c r="F1194" s="123">
        <v>23967</v>
      </c>
      <c r="G1194" s="123" t="s">
        <v>2229</v>
      </c>
    </row>
    <row r="1195" spans="6:7" x14ac:dyDescent="0.2">
      <c r="F1195" s="123">
        <v>23968</v>
      </c>
      <c r="G1195" s="123" t="s">
        <v>2230</v>
      </c>
    </row>
    <row r="1196" spans="6:7" x14ac:dyDescent="0.2">
      <c r="F1196" s="123">
        <v>23989</v>
      </c>
      <c r="G1196" s="123" t="s">
        <v>2231</v>
      </c>
    </row>
    <row r="1197" spans="6:7" x14ac:dyDescent="0.2">
      <c r="F1197" s="123">
        <v>23991</v>
      </c>
      <c r="G1197" s="123" t="s">
        <v>2232</v>
      </c>
    </row>
    <row r="1198" spans="6:7" x14ac:dyDescent="0.2">
      <c r="F1198" s="123">
        <v>24019</v>
      </c>
      <c r="G1198" s="123" t="s">
        <v>2233</v>
      </c>
    </row>
    <row r="1199" spans="6:7" x14ac:dyDescent="0.2">
      <c r="F1199" s="123">
        <v>24027</v>
      </c>
      <c r="G1199" s="123" t="s">
        <v>2234</v>
      </c>
    </row>
    <row r="1200" spans="6:7" x14ac:dyDescent="0.2">
      <c r="F1200" s="123">
        <v>24046</v>
      </c>
      <c r="G1200" s="123" t="s">
        <v>2235</v>
      </c>
    </row>
    <row r="1201" spans="6:7" x14ac:dyDescent="0.2">
      <c r="F1201" s="123">
        <v>24052</v>
      </c>
      <c r="G1201" s="123" t="s">
        <v>2236</v>
      </c>
    </row>
    <row r="1202" spans="6:7" x14ac:dyDescent="0.2">
      <c r="F1202" s="123">
        <v>24054</v>
      </c>
      <c r="G1202" s="123" t="s">
        <v>2237</v>
      </c>
    </row>
    <row r="1203" spans="6:7" x14ac:dyDescent="0.2">
      <c r="F1203" s="123">
        <v>24060</v>
      </c>
      <c r="G1203" s="123" t="s">
        <v>2238</v>
      </c>
    </row>
    <row r="1204" spans="6:7" x14ac:dyDescent="0.2">
      <c r="F1204" s="123">
        <v>24062</v>
      </c>
      <c r="G1204" s="123" t="s">
        <v>2239</v>
      </c>
    </row>
    <row r="1205" spans="6:7" x14ac:dyDescent="0.2">
      <c r="F1205" s="123">
        <v>24086</v>
      </c>
      <c r="G1205" s="123" t="s">
        <v>2240</v>
      </c>
    </row>
    <row r="1206" spans="6:7" x14ac:dyDescent="0.2">
      <c r="F1206" s="123">
        <v>24093</v>
      </c>
      <c r="G1206" s="123" t="s">
        <v>2241</v>
      </c>
    </row>
    <row r="1207" spans="6:7" x14ac:dyDescent="0.2">
      <c r="F1207" s="123">
        <v>24109</v>
      </c>
      <c r="G1207" s="123" t="s">
        <v>2242</v>
      </c>
    </row>
    <row r="1208" spans="6:7" x14ac:dyDescent="0.2">
      <c r="F1208" s="123">
        <v>24122</v>
      </c>
      <c r="G1208" s="123" t="s">
        <v>2243</v>
      </c>
    </row>
    <row r="1209" spans="6:7" x14ac:dyDescent="0.2">
      <c r="F1209" s="123">
        <v>24170</v>
      </c>
      <c r="G1209" s="123" t="s">
        <v>2244</v>
      </c>
    </row>
    <row r="1210" spans="6:7" x14ac:dyDescent="0.2">
      <c r="F1210" s="123">
        <v>24179</v>
      </c>
      <c r="G1210" s="123" t="s">
        <v>2245</v>
      </c>
    </row>
    <row r="1211" spans="6:7" x14ac:dyDescent="0.2">
      <c r="F1211" s="123">
        <v>24198</v>
      </c>
      <c r="G1211" s="123" t="s">
        <v>2246</v>
      </c>
    </row>
    <row r="1212" spans="6:7" x14ac:dyDescent="0.2">
      <c r="F1212" s="123">
        <v>24211</v>
      </c>
      <c r="G1212" s="123" t="s">
        <v>2247</v>
      </c>
    </row>
    <row r="1213" spans="6:7" x14ac:dyDescent="0.2">
      <c r="F1213" s="123">
        <v>24212</v>
      </c>
      <c r="G1213" s="123" t="s">
        <v>2248</v>
      </c>
    </row>
    <row r="1214" spans="6:7" x14ac:dyDescent="0.2">
      <c r="F1214" s="123">
        <v>24215</v>
      </c>
      <c r="G1214" s="123" t="s">
        <v>2249</v>
      </c>
    </row>
    <row r="1215" spans="6:7" x14ac:dyDescent="0.2">
      <c r="F1215" s="123">
        <v>24218</v>
      </c>
      <c r="G1215" s="123" t="s">
        <v>2250</v>
      </c>
    </row>
    <row r="1216" spans="6:7" x14ac:dyDescent="0.2">
      <c r="F1216" s="123">
        <v>24316</v>
      </c>
      <c r="G1216" s="123" t="s">
        <v>2251</v>
      </c>
    </row>
    <row r="1217" spans="6:7" x14ac:dyDescent="0.2">
      <c r="F1217" s="123">
        <v>24317</v>
      </c>
      <c r="G1217" s="123" t="s">
        <v>2252</v>
      </c>
    </row>
    <row r="1218" spans="6:7" x14ac:dyDescent="0.2">
      <c r="F1218" s="123">
        <v>24369</v>
      </c>
      <c r="G1218" s="123" t="s">
        <v>2253</v>
      </c>
    </row>
    <row r="1219" spans="6:7" x14ac:dyDescent="0.2">
      <c r="F1219" s="123">
        <v>24373</v>
      </c>
      <c r="G1219" s="123" t="s">
        <v>2254</v>
      </c>
    </row>
    <row r="1220" spans="6:7" x14ac:dyDescent="0.2">
      <c r="F1220" s="123">
        <v>24394</v>
      </c>
      <c r="G1220" s="123" t="s">
        <v>2255</v>
      </c>
    </row>
    <row r="1221" spans="6:7" x14ac:dyDescent="0.2">
      <c r="F1221" s="123">
        <v>24419</v>
      </c>
      <c r="G1221" s="123" t="s">
        <v>2256</v>
      </c>
    </row>
    <row r="1222" spans="6:7" x14ac:dyDescent="0.2">
      <c r="F1222" s="123">
        <v>24423</v>
      </c>
      <c r="G1222" s="123" t="s">
        <v>2257</v>
      </c>
    </row>
    <row r="1223" spans="6:7" x14ac:dyDescent="0.2">
      <c r="F1223" s="123">
        <v>24429</v>
      </c>
      <c r="G1223" s="123" t="s">
        <v>2258</v>
      </c>
    </row>
    <row r="1224" spans="6:7" x14ac:dyDescent="0.2">
      <c r="F1224" s="123">
        <v>24486</v>
      </c>
      <c r="G1224" s="123" t="s">
        <v>2259</v>
      </c>
    </row>
    <row r="1225" spans="6:7" x14ac:dyDescent="0.2">
      <c r="F1225" s="123">
        <v>24533</v>
      </c>
      <c r="G1225" s="123" t="s">
        <v>2260</v>
      </c>
    </row>
    <row r="1226" spans="6:7" x14ac:dyDescent="0.2">
      <c r="F1226" s="123">
        <v>24552</v>
      </c>
      <c r="G1226" s="123" t="s">
        <v>2261</v>
      </c>
    </row>
    <row r="1227" spans="6:7" x14ac:dyDescent="0.2">
      <c r="F1227" s="123">
        <v>24557</v>
      </c>
      <c r="G1227" s="123" t="s">
        <v>2262</v>
      </c>
    </row>
    <row r="1228" spans="6:7" x14ac:dyDescent="0.2">
      <c r="F1228" s="123">
        <v>24561</v>
      </c>
      <c r="G1228" s="123" t="s">
        <v>2263</v>
      </c>
    </row>
    <row r="1229" spans="6:7" x14ac:dyDescent="0.2">
      <c r="F1229" s="123">
        <v>24562</v>
      </c>
      <c r="G1229" s="123" t="s">
        <v>2264</v>
      </c>
    </row>
    <row r="1230" spans="6:7" x14ac:dyDescent="0.2">
      <c r="F1230" s="123">
        <v>24565</v>
      </c>
      <c r="G1230" s="123" t="s">
        <v>2265</v>
      </c>
    </row>
    <row r="1231" spans="6:7" x14ac:dyDescent="0.2">
      <c r="F1231" s="123">
        <v>24566</v>
      </c>
      <c r="G1231" s="123" t="s">
        <v>2266</v>
      </c>
    </row>
    <row r="1232" spans="6:7" x14ac:dyDescent="0.2">
      <c r="F1232" s="123">
        <v>24570</v>
      </c>
      <c r="G1232" s="123" t="s">
        <v>2267</v>
      </c>
    </row>
    <row r="1233" spans="6:7" x14ac:dyDescent="0.2">
      <c r="F1233" s="123">
        <v>24572</v>
      </c>
      <c r="G1233" s="123" t="s">
        <v>2268</v>
      </c>
    </row>
    <row r="1234" spans="6:7" x14ac:dyDescent="0.2">
      <c r="F1234" s="123">
        <v>24576</v>
      </c>
      <c r="G1234" s="123" t="s">
        <v>2269</v>
      </c>
    </row>
    <row r="1235" spans="6:7" x14ac:dyDescent="0.2">
      <c r="F1235" s="123">
        <v>24579</v>
      </c>
      <c r="G1235" s="123" t="s">
        <v>2270</v>
      </c>
    </row>
    <row r="1236" spans="6:7" x14ac:dyDescent="0.2">
      <c r="F1236" s="123">
        <v>24580</v>
      </c>
      <c r="G1236" s="123" t="s">
        <v>2271</v>
      </c>
    </row>
    <row r="1237" spans="6:7" x14ac:dyDescent="0.2">
      <c r="F1237" s="123">
        <v>24581</v>
      </c>
      <c r="G1237" s="123" t="s">
        <v>2272</v>
      </c>
    </row>
    <row r="1238" spans="6:7" x14ac:dyDescent="0.2">
      <c r="F1238" s="123">
        <v>24582</v>
      </c>
      <c r="G1238" s="123" t="s">
        <v>2273</v>
      </c>
    </row>
    <row r="1239" spans="6:7" x14ac:dyDescent="0.2">
      <c r="F1239" s="123">
        <v>24585</v>
      </c>
      <c r="G1239" s="123" t="s">
        <v>2274</v>
      </c>
    </row>
    <row r="1240" spans="6:7" x14ac:dyDescent="0.2">
      <c r="F1240" s="123">
        <v>24587</v>
      </c>
      <c r="G1240" s="123" t="s">
        <v>2275</v>
      </c>
    </row>
    <row r="1241" spans="6:7" x14ac:dyDescent="0.2">
      <c r="F1241" s="123">
        <v>24589</v>
      </c>
      <c r="G1241" s="123" t="s">
        <v>2276</v>
      </c>
    </row>
    <row r="1242" spans="6:7" x14ac:dyDescent="0.2">
      <c r="F1242" s="123">
        <v>24590</v>
      </c>
      <c r="G1242" s="123" t="s">
        <v>2277</v>
      </c>
    </row>
    <row r="1243" spans="6:7" x14ac:dyDescent="0.2">
      <c r="F1243" s="123">
        <v>24591</v>
      </c>
      <c r="G1243" s="123" t="s">
        <v>2278</v>
      </c>
    </row>
    <row r="1244" spans="6:7" x14ac:dyDescent="0.2">
      <c r="F1244" s="123">
        <v>24593</v>
      </c>
      <c r="G1244" s="123" t="s">
        <v>2279</v>
      </c>
    </row>
    <row r="1245" spans="6:7" x14ac:dyDescent="0.2">
      <c r="F1245" s="123">
        <v>24596</v>
      </c>
      <c r="G1245" s="123" t="s">
        <v>2280</v>
      </c>
    </row>
    <row r="1246" spans="6:7" x14ac:dyDescent="0.2">
      <c r="F1246" s="123">
        <v>24597</v>
      </c>
      <c r="G1246" s="123" t="s">
        <v>2281</v>
      </c>
    </row>
    <row r="1247" spans="6:7" x14ac:dyDescent="0.2">
      <c r="F1247" s="123">
        <v>24598</v>
      </c>
      <c r="G1247" s="123" t="s">
        <v>2282</v>
      </c>
    </row>
    <row r="1248" spans="6:7" x14ac:dyDescent="0.2">
      <c r="F1248" s="123">
        <v>24599</v>
      </c>
      <c r="G1248" s="123" t="s">
        <v>2283</v>
      </c>
    </row>
    <row r="1249" spans="6:7" x14ac:dyDescent="0.2">
      <c r="F1249" s="123">
        <v>24600</v>
      </c>
      <c r="G1249" s="123" t="s">
        <v>2284</v>
      </c>
    </row>
    <row r="1250" spans="6:7" x14ac:dyDescent="0.2">
      <c r="F1250" s="123">
        <v>24603</v>
      </c>
      <c r="G1250" s="123" t="s">
        <v>2285</v>
      </c>
    </row>
    <row r="1251" spans="6:7" x14ac:dyDescent="0.2">
      <c r="F1251" s="123">
        <v>24604</v>
      </c>
      <c r="G1251" s="123" t="s">
        <v>2286</v>
      </c>
    </row>
    <row r="1252" spans="6:7" x14ac:dyDescent="0.2">
      <c r="F1252" s="123">
        <v>24605</v>
      </c>
      <c r="G1252" s="123" t="s">
        <v>2287</v>
      </c>
    </row>
    <row r="1253" spans="6:7" x14ac:dyDescent="0.2">
      <c r="F1253" s="123">
        <v>24608</v>
      </c>
      <c r="G1253" s="123" t="s">
        <v>2288</v>
      </c>
    </row>
    <row r="1254" spans="6:7" x14ac:dyDescent="0.2">
      <c r="F1254" s="123">
        <v>24609</v>
      </c>
      <c r="G1254" s="123" t="s">
        <v>2289</v>
      </c>
    </row>
    <row r="1255" spans="6:7" x14ac:dyDescent="0.2">
      <c r="F1255" s="123">
        <v>24610</v>
      </c>
      <c r="G1255" s="123" t="s">
        <v>2290</v>
      </c>
    </row>
    <row r="1256" spans="6:7" x14ac:dyDescent="0.2">
      <c r="F1256" s="123">
        <v>24611</v>
      </c>
      <c r="G1256" s="123" t="s">
        <v>2291</v>
      </c>
    </row>
    <row r="1257" spans="6:7" x14ac:dyDescent="0.2">
      <c r="F1257" s="123">
        <v>24612</v>
      </c>
      <c r="G1257" s="123" t="s">
        <v>2292</v>
      </c>
    </row>
    <row r="1258" spans="6:7" x14ac:dyDescent="0.2">
      <c r="F1258" s="123">
        <v>24613</v>
      </c>
      <c r="G1258" s="123" t="s">
        <v>2293</v>
      </c>
    </row>
    <row r="1259" spans="6:7" x14ac:dyDescent="0.2">
      <c r="F1259" s="123">
        <v>24614</v>
      </c>
      <c r="G1259" s="123" t="s">
        <v>2294</v>
      </c>
    </row>
    <row r="1260" spans="6:7" x14ac:dyDescent="0.2">
      <c r="F1260" s="123">
        <v>24615</v>
      </c>
      <c r="G1260" s="123" t="s">
        <v>2295</v>
      </c>
    </row>
    <row r="1261" spans="6:7" x14ac:dyDescent="0.2">
      <c r="F1261" s="123">
        <v>24649</v>
      </c>
      <c r="G1261" s="123" t="s">
        <v>2296</v>
      </c>
    </row>
    <row r="1262" spans="6:7" x14ac:dyDescent="0.2">
      <c r="F1262" s="123">
        <v>24658</v>
      </c>
      <c r="G1262" s="123" t="s">
        <v>2297</v>
      </c>
    </row>
    <row r="1263" spans="6:7" x14ac:dyDescent="0.2">
      <c r="F1263" s="123">
        <v>24663</v>
      </c>
      <c r="G1263" s="123" t="s">
        <v>2298</v>
      </c>
    </row>
    <row r="1264" spans="6:7" x14ac:dyDescent="0.2">
      <c r="F1264" s="123">
        <v>24669</v>
      </c>
      <c r="G1264" s="123" t="s">
        <v>2299</v>
      </c>
    </row>
    <row r="1265" spans="6:7" x14ac:dyDescent="0.2">
      <c r="F1265" s="123">
        <v>24672</v>
      </c>
      <c r="G1265" s="123" t="s">
        <v>2300</v>
      </c>
    </row>
    <row r="1266" spans="6:7" x14ac:dyDescent="0.2">
      <c r="F1266" s="123">
        <v>24675</v>
      </c>
      <c r="G1266" s="123" t="s">
        <v>2301</v>
      </c>
    </row>
    <row r="1267" spans="6:7" x14ac:dyDescent="0.2">
      <c r="F1267" s="123">
        <v>24692</v>
      </c>
      <c r="G1267" s="123" t="s">
        <v>2302</v>
      </c>
    </row>
    <row r="1268" spans="6:7" x14ac:dyDescent="0.2">
      <c r="F1268" s="123">
        <v>24693</v>
      </c>
      <c r="G1268" s="123" t="s">
        <v>2303</v>
      </c>
    </row>
    <row r="1269" spans="6:7" x14ac:dyDescent="0.2">
      <c r="F1269" s="123">
        <v>24699</v>
      </c>
      <c r="G1269" s="123" t="s">
        <v>2304</v>
      </c>
    </row>
    <row r="1270" spans="6:7" x14ac:dyDescent="0.2">
      <c r="F1270" s="123">
        <v>24700</v>
      </c>
      <c r="G1270" s="123" t="s">
        <v>2305</v>
      </c>
    </row>
    <row r="1271" spans="6:7" x14ac:dyDescent="0.2">
      <c r="F1271" s="123">
        <v>24703</v>
      </c>
      <c r="G1271" s="123" t="s">
        <v>2306</v>
      </c>
    </row>
    <row r="1272" spans="6:7" x14ac:dyDescent="0.2">
      <c r="F1272" s="123">
        <v>24710</v>
      </c>
      <c r="G1272" s="123" t="s">
        <v>2307</v>
      </c>
    </row>
    <row r="1273" spans="6:7" x14ac:dyDescent="0.2">
      <c r="F1273" s="123">
        <v>24725</v>
      </c>
      <c r="G1273" s="123" t="s">
        <v>2308</v>
      </c>
    </row>
    <row r="1274" spans="6:7" x14ac:dyDescent="0.2">
      <c r="F1274" s="123">
        <v>24729</v>
      </c>
      <c r="G1274" s="123" t="s">
        <v>2309</v>
      </c>
    </row>
    <row r="1275" spans="6:7" x14ac:dyDescent="0.2">
      <c r="F1275" s="123">
        <v>24730</v>
      </c>
      <c r="G1275" s="123" t="s">
        <v>2310</v>
      </c>
    </row>
    <row r="1276" spans="6:7" x14ac:dyDescent="0.2">
      <c r="F1276" s="123">
        <v>24732</v>
      </c>
      <c r="G1276" s="123" t="s">
        <v>2311</v>
      </c>
    </row>
    <row r="1277" spans="6:7" x14ac:dyDescent="0.2">
      <c r="F1277" s="123">
        <v>24734</v>
      </c>
      <c r="G1277" s="123" t="s">
        <v>2312</v>
      </c>
    </row>
    <row r="1278" spans="6:7" x14ac:dyDescent="0.2">
      <c r="F1278" s="123">
        <v>24745</v>
      </c>
      <c r="G1278" s="123" t="s">
        <v>2313</v>
      </c>
    </row>
    <row r="1279" spans="6:7" x14ac:dyDescent="0.2">
      <c r="F1279" s="123">
        <v>24759</v>
      </c>
      <c r="G1279" s="123" t="s">
        <v>2314</v>
      </c>
    </row>
    <row r="1280" spans="6:7" x14ac:dyDescent="0.2">
      <c r="F1280" s="123">
        <v>24760</v>
      </c>
      <c r="G1280" s="123" t="s">
        <v>2315</v>
      </c>
    </row>
    <row r="1281" spans="6:7" x14ac:dyDescent="0.2">
      <c r="F1281" s="123">
        <v>24764</v>
      </c>
      <c r="G1281" s="123" t="s">
        <v>2316</v>
      </c>
    </row>
    <row r="1282" spans="6:7" x14ac:dyDescent="0.2">
      <c r="F1282" s="123">
        <v>24775</v>
      </c>
      <c r="G1282" s="123" t="s">
        <v>2317</v>
      </c>
    </row>
    <row r="1283" spans="6:7" x14ac:dyDescent="0.2">
      <c r="F1283" s="123">
        <v>24800</v>
      </c>
      <c r="G1283" s="123" t="s">
        <v>2318</v>
      </c>
    </row>
    <row r="1284" spans="6:7" x14ac:dyDescent="0.2">
      <c r="F1284" s="123">
        <v>24810</v>
      </c>
      <c r="G1284" s="123" t="s">
        <v>2319</v>
      </c>
    </row>
    <row r="1285" spans="6:7" x14ac:dyDescent="0.2">
      <c r="F1285" s="123">
        <v>24816</v>
      </c>
      <c r="G1285" s="123" t="s">
        <v>2320</v>
      </c>
    </row>
    <row r="1286" spans="6:7" x14ac:dyDescent="0.2">
      <c r="F1286" s="123">
        <v>24849</v>
      </c>
      <c r="G1286" s="123" t="s">
        <v>2321</v>
      </c>
    </row>
    <row r="1287" spans="6:7" x14ac:dyDescent="0.2">
      <c r="F1287" s="123">
        <v>24856</v>
      </c>
      <c r="G1287" s="123" t="s">
        <v>2322</v>
      </c>
    </row>
    <row r="1288" spans="6:7" x14ac:dyDescent="0.2">
      <c r="F1288" s="123">
        <v>24865</v>
      </c>
      <c r="G1288" s="123" t="s">
        <v>2323</v>
      </c>
    </row>
    <row r="1289" spans="6:7" x14ac:dyDescent="0.2">
      <c r="F1289" s="123">
        <v>24894</v>
      </c>
      <c r="G1289" s="123" t="s">
        <v>2324</v>
      </c>
    </row>
    <row r="1290" spans="6:7" x14ac:dyDescent="0.2">
      <c r="F1290" s="123">
        <v>24907</v>
      </c>
      <c r="G1290" s="123" t="s">
        <v>2325</v>
      </c>
    </row>
    <row r="1291" spans="6:7" x14ac:dyDescent="0.2">
      <c r="F1291" s="123">
        <v>24910</v>
      </c>
      <c r="G1291" s="123" t="s">
        <v>2326</v>
      </c>
    </row>
    <row r="1292" spans="6:7" x14ac:dyDescent="0.2">
      <c r="F1292" s="123">
        <v>24912</v>
      </c>
      <c r="G1292" s="123" t="s">
        <v>2327</v>
      </c>
    </row>
    <row r="1293" spans="6:7" x14ac:dyDescent="0.2">
      <c r="F1293" s="123">
        <v>24920</v>
      </c>
      <c r="G1293" s="123" t="s">
        <v>2328</v>
      </c>
    </row>
    <row r="1294" spans="6:7" x14ac:dyDescent="0.2">
      <c r="F1294" s="123">
        <v>24960</v>
      </c>
      <c r="G1294" s="123" t="s">
        <v>2329</v>
      </c>
    </row>
    <row r="1295" spans="6:7" x14ac:dyDescent="0.2">
      <c r="F1295" s="123">
        <v>25017</v>
      </c>
      <c r="G1295" s="123" t="s">
        <v>2330</v>
      </c>
    </row>
    <row r="1296" spans="6:7" x14ac:dyDescent="0.2">
      <c r="F1296" s="123">
        <v>25053</v>
      </c>
      <c r="G1296" s="123" t="s">
        <v>2331</v>
      </c>
    </row>
    <row r="1297" spans="6:7" x14ac:dyDescent="0.2">
      <c r="F1297" s="123">
        <v>25118</v>
      </c>
      <c r="G1297" s="123" t="s">
        <v>2332</v>
      </c>
    </row>
    <row r="1298" spans="6:7" x14ac:dyDescent="0.2">
      <c r="F1298" s="123">
        <v>25232</v>
      </c>
      <c r="G1298" s="123" t="s">
        <v>2333</v>
      </c>
    </row>
    <row r="1299" spans="6:7" x14ac:dyDescent="0.2">
      <c r="F1299" s="123">
        <v>25259</v>
      </c>
      <c r="G1299" s="123" t="s">
        <v>2334</v>
      </c>
    </row>
    <row r="1300" spans="6:7" x14ac:dyDescent="0.2">
      <c r="F1300" s="123">
        <v>25271</v>
      </c>
      <c r="G1300" s="123" t="s">
        <v>2335</v>
      </c>
    </row>
    <row r="1301" spans="6:7" x14ac:dyDescent="0.2">
      <c r="F1301" s="123">
        <v>25274</v>
      </c>
      <c r="G1301" s="123" t="s">
        <v>2336</v>
      </c>
    </row>
    <row r="1302" spans="6:7" x14ac:dyDescent="0.2">
      <c r="F1302" s="123">
        <v>25304</v>
      </c>
      <c r="G1302" s="123" t="s">
        <v>2337</v>
      </c>
    </row>
    <row r="1303" spans="6:7" x14ac:dyDescent="0.2">
      <c r="F1303" s="123">
        <v>25313</v>
      </c>
      <c r="G1303" s="123" t="s">
        <v>2338</v>
      </c>
    </row>
    <row r="1304" spans="6:7" x14ac:dyDescent="0.2">
      <c r="F1304" s="123">
        <v>25315</v>
      </c>
      <c r="G1304" s="123" t="s">
        <v>2339</v>
      </c>
    </row>
    <row r="1305" spans="6:7" x14ac:dyDescent="0.2">
      <c r="F1305" s="123">
        <v>25320</v>
      </c>
      <c r="G1305" s="123" t="s">
        <v>2340</v>
      </c>
    </row>
    <row r="1306" spans="6:7" x14ac:dyDescent="0.2">
      <c r="F1306" s="123">
        <v>25323</v>
      </c>
      <c r="G1306" s="123" t="s">
        <v>2341</v>
      </c>
    </row>
    <row r="1307" spans="6:7" x14ac:dyDescent="0.2">
      <c r="F1307" s="123">
        <v>25324</v>
      </c>
      <c r="G1307" s="123" t="s">
        <v>2342</v>
      </c>
    </row>
    <row r="1308" spans="6:7" x14ac:dyDescent="0.2">
      <c r="F1308" s="123">
        <v>25327</v>
      </c>
      <c r="G1308" s="123" t="s">
        <v>2343</v>
      </c>
    </row>
    <row r="1309" spans="6:7" x14ac:dyDescent="0.2">
      <c r="F1309" s="123">
        <v>25328</v>
      </c>
      <c r="G1309" s="123" t="s">
        <v>2344</v>
      </c>
    </row>
    <row r="1310" spans="6:7" x14ac:dyDescent="0.2">
      <c r="F1310" s="123">
        <v>25329</v>
      </c>
      <c r="G1310" s="123" t="s">
        <v>2345</v>
      </c>
    </row>
    <row r="1311" spans="6:7" x14ac:dyDescent="0.2">
      <c r="F1311" s="123">
        <v>25334</v>
      </c>
      <c r="G1311" s="123" t="s">
        <v>2346</v>
      </c>
    </row>
    <row r="1312" spans="6:7" x14ac:dyDescent="0.2">
      <c r="F1312" s="123">
        <v>25337</v>
      </c>
      <c r="G1312" s="123" t="s">
        <v>2347</v>
      </c>
    </row>
    <row r="1313" spans="6:7" x14ac:dyDescent="0.2">
      <c r="F1313" s="123">
        <v>25340</v>
      </c>
      <c r="G1313" s="123" t="s">
        <v>2348</v>
      </c>
    </row>
    <row r="1314" spans="6:7" x14ac:dyDescent="0.2">
      <c r="F1314" s="123">
        <v>25341</v>
      </c>
      <c r="G1314" s="123" t="s">
        <v>2349</v>
      </c>
    </row>
    <row r="1315" spans="6:7" x14ac:dyDescent="0.2">
      <c r="F1315" s="123">
        <v>25342</v>
      </c>
      <c r="G1315" s="123" t="s">
        <v>2350</v>
      </c>
    </row>
    <row r="1316" spans="6:7" x14ac:dyDescent="0.2">
      <c r="F1316" s="123">
        <v>25343</v>
      </c>
      <c r="G1316" s="123" t="s">
        <v>2351</v>
      </c>
    </row>
    <row r="1317" spans="6:7" x14ac:dyDescent="0.2">
      <c r="F1317" s="123">
        <v>25352</v>
      </c>
      <c r="G1317" s="123" t="s">
        <v>2352</v>
      </c>
    </row>
    <row r="1318" spans="6:7" x14ac:dyDescent="0.2">
      <c r="F1318" s="123">
        <v>25353</v>
      </c>
      <c r="G1318" s="123" t="s">
        <v>2353</v>
      </c>
    </row>
    <row r="1319" spans="6:7" x14ac:dyDescent="0.2">
      <c r="F1319" s="123">
        <v>25365</v>
      </c>
      <c r="G1319" s="123" t="s">
        <v>2354</v>
      </c>
    </row>
    <row r="1320" spans="6:7" x14ac:dyDescent="0.2">
      <c r="F1320" s="123">
        <v>25391</v>
      </c>
      <c r="G1320" s="123" t="s">
        <v>2355</v>
      </c>
    </row>
    <row r="1321" spans="6:7" x14ac:dyDescent="0.2">
      <c r="F1321" s="123">
        <v>25404</v>
      </c>
      <c r="G1321" s="123" t="s">
        <v>2356</v>
      </c>
    </row>
    <row r="1322" spans="6:7" x14ac:dyDescent="0.2">
      <c r="F1322" s="123">
        <v>25407</v>
      </c>
      <c r="G1322" s="123" t="s">
        <v>2357</v>
      </c>
    </row>
    <row r="1323" spans="6:7" x14ac:dyDescent="0.2">
      <c r="F1323" s="123">
        <v>25539</v>
      </c>
      <c r="G1323" s="123" t="s">
        <v>2358</v>
      </c>
    </row>
    <row r="1324" spans="6:7" x14ac:dyDescent="0.2">
      <c r="F1324" s="123">
        <v>25578</v>
      </c>
      <c r="G1324" s="123" t="s">
        <v>2359</v>
      </c>
    </row>
    <row r="1325" spans="6:7" x14ac:dyDescent="0.2">
      <c r="F1325" s="123">
        <v>25616</v>
      </c>
      <c r="G1325" s="123" t="s">
        <v>2360</v>
      </c>
    </row>
    <row r="1326" spans="6:7" x14ac:dyDescent="0.2">
      <c r="F1326" s="123">
        <v>25626</v>
      </c>
      <c r="G1326" s="123" t="s">
        <v>2361</v>
      </c>
    </row>
    <row r="1327" spans="6:7" x14ac:dyDescent="0.2">
      <c r="F1327" s="123">
        <v>25633</v>
      </c>
      <c r="G1327" s="123" t="s">
        <v>2362</v>
      </c>
    </row>
    <row r="1328" spans="6:7" x14ac:dyDescent="0.2">
      <c r="F1328" s="123">
        <v>25650</v>
      </c>
      <c r="G1328" s="123" t="s">
        <v>2363</v>
      </c>
    </row>
    <row r="1329" spans="6:7" x14ac:dyDescent="0.2">
      <c r="F1329" s="123">
        <v>25671</v>
      </c>
      <c r="G1329" s="123" t="s">
        <v>2364</v>
      </c>
    </row>
    <row r="1330" spans="6:7" x14ac:dyDescent="0.2">
      <c r="F1330" s="123">
        <v>25684</v>
      </c>
      <c r="G1330" s="123" t="s">
        <v>2365</v>
      </c>
    </row>
    <row r="1331" spans="6:7" x14ac:dyDescent="0.2">
      <c r="F1331" s="123">
        <v>25751</v>
      </c>
      <c r="G1331" s="123" t="s">
        <v>2366</v>
      </c>
    </row>
    <row r="1332" spans="6:7" x14ac:dyDescent="0.2">
      <c r="F1332" s="123">
        <v>25755</v>
      </c>
      <c r="G1332" s="123" t="s">
        <v>2367</v>
      </c>
    </row>
    <row r="1333" spans="6:7" x14ac:dyDescent="0.2">
      <c r="F1333" s="123">
        <v>25761</v>
      </c>
      <c r="G1333" s="123" t="s">
        <v>2368</v>
      </c>
    </row>
    <row r="1334" spans="6:7" x14ac:dyDescent="0.2">
      <c r="F1334" s="123">
        <v>25768</v>
      </c>
      <c r="G1334" s="123" t="s">
        <v>2369</v>
      </c>
    </row>
    <row r="1335" spans="6:7" x14ac:dyDescent="0.2">
      <c r="F1335" s="123">
        <v>25789</v>
      </c>
      <c r="G1335" s="123" t="s">
        <v>2370</v>
      </c>
    </row>
    <row r="1336" spans="6:7" x14ac:dyDescent="0.2">
      <c r="F1336" s="123">
        <v>25790</v>
      </c>
      <c r="G1336" s="123" t="s">
        <v>2371</v>
      </c>
    </row>
    <row r="1337" spans="6:7" x14ac:dyDescent="0.2">
      <c r="F1337" s="123">
        <v>25796</v>
      </c>
      <c r="G1337" s="123" t="s">
        <v>2372</v>
      </c>
    </row>
    <row r="1338" spans="6:7" x14ac:dyDescent="0.2">
      <c r="F1338" s="123">
        <v>25797</v>
      </c>
      <c r="G1338" s="123" t="s">
        <v>2373</v>
      </c>
    </row>
    <row r="1339" spans="6:7" x14ac:dyDescent="0.2">
      <c r="F1339" s="123">
        <v>25801</v>
      </c>
      <c r="G1339" s="123" t="s">
        <v>2374</v>
      </c>
    </row>
    <row r="1340" spans="6:7" x14ac:dyDescent="0.2">
      <c r="F1340" s="123">
        <v>25805</v>
      </c>
      <c r="G1340" s="123" t="s">
        <v>2375</v>
      </c>
    </row>
    <row r="1341" spans="6:7" x14ac:dyDescent="0.2">
      <c r="F1341" s="123">
        <v>25807</v>
      </c>
      <c r="G1341" s="123" t="s">
        <v>2376</v>
      </c>
    </row>
    <row r="1342" spans="6:7" x14ac:dyDescent="0.2">
      <c r="F1342" s="123">
        <v>25812</v>
      </c>
      <c r="G1342" s="123" t="s">
        <v>2377</v>
      </c>
    </row>
    <row r="1343" spans="6:7" x14ac:dyDescent="0.2">
      <c r="F1343" s="123">
        <v>25813</v>
      </c>
      <c r="G1343" s="123" t="s">
        <v>2378</v>
      </c>
    </row>
    <row r="1344" spans="6:7" x14ac:dyDescent="0.2">
      <c r="F1344" s="123">
        <v>25814</v>
      </c>
      <c r="G1344" s="123" t="s">
        <v>2379</v>
      </c>
    </row>
    <row r="1345" spans="6:7" x14ac:dyDescent="0.2">
      <c r="F1345" s="123">
        <v>25815</v>
      </c>
      <c r="G1345" s="123" t="s">
        <v>2380</v>
      </c>
    </row>
    <row r="1346" spans="6:7" x14ac:dyDescent="0.2">
      <c r="F1346" s="123">
        <v>25818</v>
      </c>
      <c r="G1346" s="123" t="s">
        <v>2381</v>
      </c>
    </row>
    <row r="1347" spans="6:7" x14ac:dyDescent="0.2">
      <c r="F1347" s="123">
        <v>25819</v>
      </c>
      <c r="G1347" s="123" t="s">
        <v>2382</v>
      </c>
    </row>
    <row r="1348" spans="6:7" x14ac:dyDescent="0.2">
      <c r="F1348" s="123">
        <v>25820</v>
      </c>
      <c r="G1348" s="123" t="s">
        <v>2383</v>
      </c>
    </row>
    <row r="1349" spans="6:7" x14ac:dyDescent="0.2">
      <c r="F1349" s="123">
        <v>25821</v>
      </c>
      <c r="G1349" s="123" t="s">
        <v>2384</v>
      </c>
    </row>
    <row r="1350" spans="6:7" x14ac:dyDescent="0.2">
      <c r="F1350" s="123">
        <v>25822</v>
      </c>
      <c r="G1350" s="123" t="s">
        <v>2385</v>
      </c>
    </row>
    <row r="1351" spans="6:7" x14ac:dyDescent="0.2">
      <c r="F1351" s="123">
        <v>25827</v>
      </c>
      <c r="G1351" s="123" t="s">
        <v>2386</v>
      </c>
    </row>
    <row r="1352" spans="6:7" x14ac:dyDescent="0.2">
      <c r="F1352" s="123">
        <v>25830</v>
      </c>
      <c r="G1352" s="123" t="s">
        <v>2387</v>
      </c>
    </row>
    <row r="1353" spans="6:7" x14ac:dyDescent="0.2">
      <c r="F1353" s="123">
        <v>25831</v>
      </c>
      <c r="G1353" s="123" t="s">
        <v>2388</v>
      </c>
    </row>
    <row r="1354" spans="6:7" x14ac:dyDescent="0.2">
      <c r="F1354" s="123">
        <v>25832</v>
      </c>
      <c r="G1354" s="123" t="s">
        <v>2389</v>
      </c>
    </row>
    <row r="1355" spans="6:7" x14ac:dyDescent="0.2">
      <c r="F1355" s="123">
        <v>25833</v>
      </c>
      <c r="G1355" s="123" t="s">
        <v>2390</v>
      </c>
    </row>
    <row r="1356" spans="6:7" x14ac:dyDescent="0.2">
      <c r="F1356" s="123">
        <v>25838</v>
      </c>
      <c r="G1356" s="123" t="s">
        <v>2391</v>
      </c>
    </row>
    <row r="1357" spans="6:7" x14ac:dyDescent="0.2">
      <c r="F1357" s="123">
        <v>25839</v>
      </c>
      <c r="G1357" s="123" t="s">
        <v>2392</v>
      </c>
    </row>
    <row r="1358" spans="6:7" x14ac:dyDescent="0.2">
      <c r="F1358" s="123">
        <v>25846</v>
      </c>
      <c r="G1358" s="123" t="s">
        <v>2393</v>
      </c>
    </row>
    <row r="1359" spans="6:7" x14ac:dyDescent="0.2">
      <c r="F1359" s="123">
        <v>25857</v>
      </c>
      <c r="G1359" s="123" t="s">
        <v>2394</v>
      </c>
    </row>
    <row r="1360" spans="6:7" x14ac:dyDescent="0.2">
      <c r="F1360" s="123">
        <v>25858</v>
      </c>
      <c r="G1360" s="123" t="s">
        <v>2395</v>
      </c>
    </row>
    <row r="1361" spans="6:7" x14ac:dyDescent="0.2">
      <c r="F1361" s="123">
        <v>25859</v>
      </c>
      <c r="G1361" s="123" t="s">
        <v>2396</v>
      </c>
    </row>
    <row r="1362" spans="6:7" x14ac:dyDescent="0.2">
      <c r="F1362" s="123">
        <v>25861</v>
      </c>
      <c r="G1362" s="123" t="s">
        <v>2397</v>
      </c>
    </row>
    <row r="1363" spans="6:7" x14ac:dyDescent="0.2">
      <c r="F1363" s="123">
        <v>25862</v>
      </c>
      <c r="G1363" s="123" t="s">
        <v>2398</v>
      </c>
    </row>
    <row r="1364" spans="6:7" x14ac:dyDescent="0.2">
      <c r="F1364" s="123">
        <v>25863</v>
      </c>
      <c r="G1364" s="123" t="s">
        <v>2399</v>
      </c>
    </row>
    <row r="1365" spans="6:7" x14ac:dyDescent="0.2">
      <c r="F1365" s="123">
        <v>25865</v>
      </c>
      <c r="G1365" s="123" t="s">
        <v>2400</v>
      </c>
    </row>
    <row r="1366" spans="6:7" x14ac:dyDescent="0.2">
      <c r="F1366" s="123">
        <v>25866</v>
      </c>
      <c r="G1366" s="123" t="s">
        <v>2401</v>
      </c>
    </row>
    <row r="1367" spans="6:7" x14ac:dyDescent="0.2">
      <c r="F1367" s="123">
        <v>25868</v>
      </c>
      <c r="G1367" s="123" t="s">
        <v>2402</v>
      </c>
    </row>
    <row r="1368" spans="6:7" x14ac:dyDescent="0.2">
      <c r="F1368" s="123">
        <v>25869</v>
      </c>
      <c r="G1368" s="123" t="s">
        <v>2403</v>
      </c>
    </row>
    <row r="1369" spans="6:7" x14ac:dyDescent="0.2">
      <c r="F1369" s="123">
        <v>25873</v>
      </c>
      <c r="G1369" s="123" t="s">
        <v>2404</v>
      </c>
    </row>
    <row r="1370" spans="6:7" x14ac:dyDescent="0.2">
      <c r="F1370" s="123">
        <v>25875</v>
      </c>
      <c r="G1370" s="123" t="s">
        <v>2405</v>
      </c>
    </row>
    <row r="1371" spans="6:7" x14ac:dyDescent="0.2">
      <c r="F1371" s="123">
        <v>25881</v>
      </c>
      <c r="G1371" s="123" t="s">
        <v>2406</v>
      </c>
    </row>
    <row r="1372" spans="6:7" x14ac:dyDescent="0.2">
      <c r="F1372" s="123">
        <v>25883</v>
      </c>
      <c r="G1372" s="123" t="s">
        <v>2407</v>
      </c>
    </row>
    <row r="1373" spans="6:7" x14ac:dyDescent="0.2">
      <c r="F1373" s="123">
        <v>25884</v>
      </c>
      <c r="G1373" s="123" t="s">
        <v>2408</v>
      </c>
    </row>
    <row r="1374" spans="6:7" x14ac:dyDescent="0.2">
      <c r="F1374" s="123">
        <v>25887</v>
      </c>
      <c r="G1374" s="123" t="s">
        <v>2409</v>
      </c>
    </row>
    <row r="1375" spans="6:7" x14ac:dyDescent="0.2">
      <c r="F1375" s="123">
        <v>25888</v>
      </c>
      <c r="G1375" s="123" t="s">
        <v>2410</v>
      </c>
    </row>
    <row r="1376" spans="6:7" x14ac:dyDescent="0.2">
      <c r="F1376" s="123">
        <v>25889</v>
      </c>
      <c r="G1376" s="123" t="s">
        <v>2411</v>
      </c>
    </row>
    <row r="1377" spans="6:7" x14ac:dyDescent="0.2">
      <c r="F1377" s="123">
        <v>25892</v>
      </c>
      <c r="G1377" s="123" t="s">
        <v>2412</v>
      </c>
    </row>
    <row r="1378" spans="6:7" x14ac:dyDescent="0.2">
      <c r="F1378" s="123">
        <v>25893</v>
      </c>
      <c r="G1378" s="123" t="s">
        <v>2413</v>
      </c>
    </row>
    <row r="1379" spans="6:7" x14ac:dyDescent="0.2">
      <c r="F1379" s="123">
        <v>25895</v>
      </c>
      <c r="G1379" s="123" t="s">
        <v>2414</v>
      </c>
    </row>
    <row r="1380" spans="6:7" x14ac:dyDescent="0.2">
      <c r="F1380" s="123">
        <v>25898</v>
      </c>
      <c r="G1380" s="123" t="s">
        <v>2415</v>
      </c>
    </row>
    <row r="1381" spans="6:7" x14ac:dyDescent="0.2">
      <c r="F1381" s="123">
        <v>25907</v>
      </c>
      <c r="G1381" s="123" t="s">
        <v>2416</v>
      </c>
    </row>
    <row r="1382" spans="6:7" x14ac:dyDescent="0.2">
      <c r="F1382" s="123">
        <v>25910</v>
      </c>
      <c r="G1382" s="123" t="s">
        <v>2417</v>
      </c>
    </row>
    <row r="1383" spans="6:7" x14ac:dyDescent="0.2">
      <c r="F1383" s="123">
        <v>25911</v>
      </c>
      <c r="G1383" s="123" t="s">
        <v>2418</v>
      </c>
    </row>
    <row r="1384" spans="6:7" x14ac:dyDescent="0.2">
      <c r="F1384" s="123">
        <v>25914</v>
      </c>
      <c r="G1384" s="123" t="s">
        <v>2419</v>
      </c>
    </row>
    <row r="1385" spans="6:7" x14ac:dyDescent="0.2">
      <c r="F1385" s="123">
        <v>25916</v>
      </c>
      <c r="G1385" s="123" t="s">
        <v>2420</v>
      </c>
    </row>
    <row r="1386" spans="6:7" x14ac:dyDescent="0.2">
      <c r="F1386" s="123">
        <v>25920</v>
      </c>
      <c r="G1386" s="123" t="s">
        <v>2421</v>
      </c>
    </row>
    <row r="1387" spans="6:7" x14ac:dyDescent="0.2">
      <c r="F1387" s="123">
        <v>25923</v>
      </c>
      <c r="G1387" s="123" t="s">
        <v>2422</v>
      </c>
    </row>
    <row r="1388" spans="6:7" x14ac:dyDescent="0.2">
      <c r="F1388" s="123">
        <v>25924</v>
      </c>
      <c r="G1388" s="123" t="s">
        <v>2423</v>
      </c>
    </row>
    <row r="1389" spans="6:7" x14ac:dyDescent="0.2">
      <c r="F1389" s="123">
        <v>25928</v>
      </c>
      <c r="G1389" s="123" t="s">
        <v>2424</v>
      </c>
    </row>
    <row r="1390" spans="6:7" x14ac:dyDescent="0.2">
      <c r="F1390" s="123">
        <v>25932</v>
      </c>
      <c r="G1390" s="123" t="s">
        <v>2425</v>
      </c>
    </row>
    <row r="1391" spans="6:7" x14ac:dyDescent="0.2">
      <c r="F1391" s="123">
        <v>25933</v>
      </c>
      <c r="G1391" s="123" t="s">
        <v>2426</v>
      </c>
    </row>
    <row r="1392" spans="6:7" x14ac:dyDescent="0.2">
      <c r="F1392" s="123">
        <v>25934</v>
      </c>
      <c r="G1392" s="123" t="s">
        <v>2427</v>
      </c>
    </row>
    <row r="1393" spans="6:7" x14ac:dyDescent="0.2">
      <c r="F1393" s="123">
        <v>25936</v>
      </c>
      <c r="G1393" s="123" t="s">
        <v>2428</v>
      </c>
    </row>
    <row r="1394" spans="6:7" x14ac:dyDescent="0.2">
      <c r="F1394" s="123">
        <v>25938</v>
      </c>
      <c r="G1394" s="123" t="s">
        <v>2429</v>
      </c>
    </row>
    <row r="1395" spans="6:7" x14ac:dyDescent="0.2">
      <c r="F1395" s="123">
        <v>25944</v>
      </c>
      <c r="G1395" s="123" t="s">
        <v>2430</v>
      </c>
    </row>
    <row r="1396" spans="6:7" x14ac:dyDescent="0.2">
      <c r="F1396" s="123">
        <v>25950</v>
      </c>
      <c r="G1396" s="123" t="s">
        <v>2431</v>
      </c>
    </row>
    <row r="1397" spans="6:7" x14ac:dyDescent="0.2">
      <c r="F1397" s="123">
        <v>25952</v>
      </c>
      <c r="G1397" s="123" t="s">
        <v>2432</v>
      </c>
    </row>
    <row r="1398" spans="6:7" x14ac:dyDescent="0.2">
      <c r="F1398" s="123">
        <v>25953</v>
      </c>
      <c r="G1398" s="123" t="s">
        <v>2433</v>
      </c>
    </row>
    <row r="1399" spans="6:7" x14ac:dyDescent="0.2">
      <c r="F1399" s="123">
        <v>25954</v>
      </c>
      <c r="G1399" s="123" t="s">
        <v>2434</v>
      </c>
    </row>
    <row r="1400" spans="6:7" x14ac:dyDescent="0.2">
      <c r="F1400" s="123">
        <v>25956</v>
      </c>
      <c r="G1400" s="123" t="s">
        <v>2435</v>
      </c>
    </row>
    <row r="1401" spans="6:7" x14ac:dyDescent="0.2">
      <c r="F1401" s="123">
        <v>25957</v>
      </c>
      <c r="G1401" s="123" t="s">
        <v>2436</v>
      </c>
    </row>
    <row r="1402" spans="6:7" x14ac:dyDescent="0.2">
      <c r="F1402" s="123">
        <v>25959</v>
      </c>
      <c r="G1402" s="123" t="s">
        <v>2437</v>
      </c>
    </row>
    <row r="1403" spans="6:7" x14ac:dyDescent="0.2">
      <c r="F1403" s="123">
        <v>25960</v>
      </c>
      <c r="G1403" s="123" t="s">
        <v>2438</v>
      </c>
    </row>
    <row r="1404" spans="6:7" x14ac:dyDescent="0.2">
      <c r="F1404" s="123">
        <v>25962</v>
      </c>
      <c r="G1404" s="123" t="s">
        <v>2439</v>
      </c>
    </row>
    <row r="1405" spans="6:7" x14ac:dyDescent="0.2">
      <c r="F1405" s="123">
        <v>25963</v>
      </c>
      <c r="G1405" s="123" t="s">
        <v>2440</v>
      </c>
    </row>
    <row r="1406" spans="6:7" x14ac:dyDescent="0.2">
      <c r="F1406" s="123">
        <v>25964</v>
      </c>
      <c r="G1406" s="123" t="s">
        <v>2441</v>
      </c>
    </row>
    <row r="1407" spans="6:7" x14ac:dyDescent="0.2">
      <c r="F1407" s="123">
        <v>25967</v>
      </c>
      <c r="G1407" s="123" t="s">
        <v>2442</v>
      </c>
    </row>
    <row r="1408" spans="6:7" x14ac:dyDescent="0.2">
      <c r="F1408" s="123">
        <v>25968</v>
      </c>
      <c r="G1408" s="123" t="s">
        <v>2443</v>
      </c>
    </row>
    <row r="1409" spans="6:7" x14ac:dyDescent="0.2">
      <c r="F1409" s="123">
        <v>25970</v>
      </c>
      <c r="G1409" s="123" t="s">
        <v>2444</v>
      </c>
    </row>
    <row r="1410" spans="6:7" x14ac:dyDescent="0.2">
      <c r="F1410" s="123">
        <v>25974</v>
      </c>
      <c r="G1410" s="123" t="s">
        <v>2445</v>
      </c>
    </row>
    <row r="1411" spans="6:7" x14ac:dyDescent="0.2">
      <c r="F1411" s="123">
        <v>25978</v>
      </c>
      <c r="G1411" s="123" t="s">
        <v>2446</v>
      </c>
    </row>
    <row r="1412" spans="6:7" x14ac:dyDescent="0.2">
      <c r="F1412" s="123">
        <v>25979</v>
      </c>
      <c r="G1412" s="123" t="s">
        <v>2447</v>
      </c>
    </row>
    <row r="1413" spans="6:7" x14ac:dyDescent="0.2">
      <c r="F1413" s="123">
        <v>25984</v>
      </c>
      <c r="G1413" s="123" t="s">
        <v>2448</v>
      </c>
    </row>
    <row r="1414" spans="6:7" x14ac:dyDescent="0.2">
      <c r="F1414" s="123">
        <v>25991</v>
      </c>
      <c r="G1414" s="123" t="s">
        <v>2449</v>
      </c>
    </row>
    <row r="1415" spans="6:7" x14ac:dyDescent="0.2">
      <c r="F1415" s="123">
        <v>25993</v>
      </c>
      <c r="G1415" s="123" t="s">
        <v>2450</v>
      </c>
    </row>
    <row r="1416" spans="6:7" x14ac:dyDescent="0.2">
      <c r="F1416" s="123">
        <v>25994</v>
      </c>
      <c r="G1416" s="123" t="s">
        <v>2451</v>
      </c>
    </row>
    <row r="1417" spans="6:7" x14ac:dyDescent="0.2">
      <c r="F1417" s="123">
        <v>25995</v>
      </c>
      <c r="G1417" s="123" t="s">
        <v>2452</v>
      </c>
    </row>
    <row r="1418" spans="6:7" x14ac:dyDescent="0.2">
      <c r="F1418" s="123">
        <v>25996</v>
      </c>
      <c r="G1418" s="123" t="s">
        <v>2453</v>
      </c>
    </row>
    <row r="1419" spans="6:7" x14ac:dyDescent="0.2">
      <c r="F1419" s="123">
        <v>25997</v>
      </c>
      <c r="G1419" s="123" t="s">
        <v>2454</v>
      </c>
    </row>
    <row r="1420" spans="6:7" x14ac:dyDescent="0.2">
      <c r="F1420" s="123">
        <v>26000</v>
      </c>
      <c r="G1420" s="123" t="s">
        <v>2455</v>
      </c>
    </row>
    <row r="1421" spans="6:7" x14ac:dyDescent="0.2">
      <c r="F1421" s="123">
        <v>26004</v>
      </c>
      <c r="G1421" s="123" t="s">
        <v>2456</v>
      </c>
    </row>
    <row r="1422" spans="6:7" x14ac:dyDescent="0.2">
      <c r="F1422" s="123">
        <v>26006</v>
      </c>
      <c r="G1422" s="123" t="s">
        <v>2457</v>
      </c>
    </row>
    <row r="1423" spans="6:7" x14ac:dyDescent="0.2">
      <c r="F1423" s="123">
        <v>26007</v>
      </c>
      <c r="G1423" s="123" t="s">
        <v>2458</v>
      </c>
    </row>
    <row r="1424" spans="6:7" x14ac:dyDescent="0.2">
      <c r="F1424" s="123">
        <v>26010</v>
      </c>
      <c r="G1424" s="123" t="s">
        <v>2459</v>
      </c>
    </row>
    <row r="1425" spans="6:7" x14ac:dyDescent="0.2">
      <c r="F1425" s="123">
        <v>26012</v>
      </c>
      <c r="G1425" s="123" t="s">
        <v>2460</v>
      </c>
    </row>
    <row r="1426" spans="6:7" x14ac:dyDescent="0.2">
      <c r="F1426" s="123">
        <v>26014</v>
      </c>
      <c r="G1426" s="123" t="s">
        <v>2461</v>
      </c>
    </row>
    <row r="1427" spans="6:7" x14ac:dyDescent="0.2">
      <c r="F1427" s="123">
        <v>26019</v>
      </c>
      <c r="G1427" s="123" t="s">
        <v>2462</v>
      </c>
    </row>
    <row r="1428" spans="6:7" x14ac:dyDescent="0.2">
      <c r="F1428" s="123">
        <v>26025</v>
      </c>
      <c r="G1428" s="123" t="s">
        <v>2463</v>
      </c>
    </row>
    <row r="1429" spans="6:7" x14ac:dyDescent="0.2">
      <c r="F1429" s="123">
        <v>26032</v>
      </c>
      <c r="G1429" s="123" t="s">
        <v>2464</v>
      </c>
    </row>
    <row r="1430" spans="6:7" x14ac:dyDescent="0.2">
      <c r="F1430" s="123">
        <v>26036</v>
      </c>
      <c r="G1430" s="123" t="s">
        <v>2465</v>
      </c>
    </row>
    <row r="1431" spans="6:7" x14ac:dyDescent="0.2">
      <c r="F1431" s="123">
        <v>26037</v>
      </c>
      <c r="G1431" s="123" t="s">
        <v>2466</v>
      </c>
    </row>
    <row r="1432" spans="6:7" x14ac:dyDescent="0.2">
      <c r="F1432" s="123">
        <v>26053</v>
      </c>
      <c r="G1432" s="123" t="s">
        <v>2467</v>
      </c>
    </row>
    <row r="1433" spans="6:7" x14ac:dyDescent="0.2">
      <c r="F1433" s="123">
        <v>26061</v>
      </c>
      <c r="G1433" s="123" t="s">
        <v>2468</v>
      </c>
    </row>
    <row r="1434" spans="6:7" x14ac:dyDescent="0.2">
      <c r="F1434" s="123">
        <v>26086</v>
      </c>
      <c r="G1434" s="123" t="s">
        <v>2469</v>
      </c>
    </row>
    <row r="1435" spans="6:7" x14ac:dyDescent="0.2">
      <c r="F1435" s="123">
        <v>26092</v>
      </c>
      <c r="G1435" s="123" t="s">
        <v>2470</v>
      </c>
    </row>
    <row r="1436" spans="6:7" x14ac:dyDescent="0.2">
      <c r="F1436" s="123">
        <v>26117</v>
      </c>
      <c r="G1436" s="123" t="s">
        <v>2471</v>
      </c>
    </row>
    <row r="1437" spans="6:7" x14ac:dyDescent="0.2">
      <c r="F1437" s="123">
        <v>26135</v>
      </c>
      <c r="G1437" s="123" t="s">
        <v>2472</v>
      </c>
    </row>
    <row r="1438" spans="6:7" x14ac:dyDescent="0.2">
      <c r="F1438" s="123">
        <v>26136</v>
      </c>
      <c r="G1438" s="123" t="s">
        <v>2473</v>
      </c>
    </row>
    <row r="1439" spans="6:7" x14ac:dyDescent="0.2">
      <c r="F1439" s="123">
        <v>26156</v>
      </c>
      <c r="G1439" s="123" t="s">
        <v>2474</v>
      </c>
    </row>
    <row r="1440" spans="6:7" x14ac:dyDescent="0.2">
      <c r="F1440" s="123">
        <v>26194</v>
      </c>
      <c r="G1440" s="123" t="s">
        <v>2475</v>
      </c>
    </row>
    <row r="1441" spans="6:7" x14ac:dyDescent="0.2">
      <c r="F1441" s="123">
        <v>26208</v>
      </c>
      <c r="G1441" s="123" t="s">
        <v>2476</v>
      </c>
    </row>
    <row r="1442" spans="6:7" x14ac:dyDescent="0.2">
      <c r="F1442" s="123">
        <v>26209</v>
      </c>
      <c r="G1442" s="123" t="s">
        <v>2477</v>
      </c>
    </row>
    <row r="1443" spans="6:7" x14ac:dyDescent="0.2">
      <c r="F1443" s="123">
        <v>26215</v>
      </c>
      <c r="G1443" s="123" t="s">
        <v>2478</v>
      </c>
    </row>
    <row r="1444" spans="6:7" x14ac:dyDescent="0.2">
      <c r="F1444" s="123">
        <v>26225</v>
      </c>
      <c r="G1444" s="123" t="s">
        <v>2479</v>
      </c>
    </row>
    <row r="1445" spans="6:7" x14ac:dyDescent="0.2">
      <c r="F1445" s="123">
        <v>26226</v>
      </c>
      <c r="G1445" s="123" t="s">
        <v>2480</v>
      </c>
    </row>
    <row r="1446" spans="6:7" x14ac:dyDescent="0.2">
      <c r="F1446" s="123">
        <v>26252</v>
      </c>
      <c r="G1446" s="123" t="s">
        <v>2481</v>
      </c>
    </row>
    <row r="1447" spans="6:7" x14ac:dyDescent="0.2">
      <c r="F1447" s="123">
        <v>26270</v>
      </c>
      <c r="G1447" s="123" t="s">
        <v>2482</v>
      </c>
    </row>
    <row r="1448" spans="6:7" x14ac:dyDescent="0.2">
      <c r="F1448" s="123">
        <v>26299</v>
      </c>
      <c r="G1448" s="123" t="s">
        <v>2483</v>
      </c>
    </row>
    <row r="1449" spans="6:7" x14ac:dyDescent="0.2">
      <c r="F1449" s="123">
        <v>26300</v>
      </c>
      <c r="G1449" s="123" t="s">
        <v>2484</v>
      </c>
    </row>
    <row r="1450" spans="6:7" x14ac:dyDescent="0.2">
      <c r="F1450" s="123">
        <v>26340</v>
      </c>
      <c r="G1450" s="123" t="s">
        <v>2485</v>
      </c>
    </row>
    <row r="1451" spans="6:7" x14ac:dyDescent="0.2">
      <c r="F1451" s="123">
        <v>26368</v>
      </c>
      <c r="G1451" s="123" t="s">
        <v>2486</v>
      </c>
    </row>
    <row r="1452" spans="6:7" x14ac:dyDescent="0.2">
      <c r="F1452" s="123">
        <v>26530</v>
      </c>
      <c r="G1452" s="123" t="s">
        <v>2487</v>
      </c>
    </row>
    <row r="1453" spans="6:7" x14ac:dyDescent="0.2">
      <c r="F1453" s="123">
        <v>26541</v>
      </c>
      <c r="G1453" s="123" t="s">
        <v>2488</v>
      </c>
    </row>
    <row r="1454" spans="6:7" x14ac:dyDescent="0.2">
      <c r="F1454" s="123">
        <v>26542</v>
      </c>
      <c r="G1454" s="123" t="s">
        <v>2489</v>
      </c>
    </row>
    <row r="1455" spans="6:7" x14ac:dyDescent="0.2">
      <c r="F1455" s="123">
        <v>26568</v>
      </c>
      <c r="G1455" s="123" t="s">
        <v>2490</v>
      </c>
    </row>
    <row r="1456" spans="6:7" x14ac:dyDescent="0.2">
      <c r="F1456" s="123">
        <v>26576</v>
      </c>
      <c r="G1456" s="123" t="s">
        <v>2491</v>
      </c>
    </row>
    <row r="1457" spans="6:7" x14ac:dyDescent="0.2">
      <c r="F1457" s="123">
        <v>26582</v>
      </c>
      <c r="G1457" s="123" t="s">
        <v>2492</v>
      </c>
    </row>
    <row r="1458" spans="6:7" x14ac:dyDescent="0.2">
      <c r="F1458" s="123">
        <v>26590</v>
      </c>
      <c r="G1458" s="123" t="s">
        <v>2493</v>
      </c>
    </row>
    <row r="1459" spans="6:7" x14ac:dyDescent="0.2">
      <c r="F1459" s="123">
        <v>26592</v>
      </c>
      <c r="G1459" s="123" t="s">
        <v>2494</v>
      </c>
    </row>
    <row r="1460" spans="6:7" x14ac:dyDescent="0.2">
      <c r="F1460" s="123">
        <v>26624</v>
      </c>
      <c r="G1460" s="123" t="s">
        <v>2495</v>
      </c>
    </row>
    <row r="1461" spans="6:7" x14ac:dyDescent="0.2">
      <c r="F1461" s="123">
        <v>26631</v>
      </c>
      <c r="G1461" s="123" t="s">
        <v>2496</v>
      </c>
    </row>
    <row r="1462" spans="6:7" x14ac:dyDescent="0.2">
      <c r="F1462" s="123">
        <v>26637</v>
      </c>
      <c r="G1462" s="123" t="s">
        <v>2497</v>
      </c>
    </row>
    <row r="1463" spans="6:7" x14ac:dyDescent="0.2">
      <c r="F1463" s="123">
        <v>26645</v>
      </c>
      <c r="G1463" s="123" t="s">
        <v>2498</v>
      </c>
    </row>
    <row r="1464" spans="6:7" x14ac:dyDescent="0.2">
      <c r="F1464" s="123">
        <v>26652</v>
      </c>
      <c r="G1464" s="123" t="s">
        <v>2499</v>
      </c>
    </row>
    <row r="1465" spans="6:7" x14ac:dyDescent="0.2">
      <c r="F1465" s="123">
        <v>26656</v>
      </c>
      <c r="G1465" s="123" t="s">
        <v>2500</v>
      </c>
    </row>
    <row r="1466" spans="6:7" x14ac:dyDescent="0.2">
      <c r="F1466" s="123">
        <v>26670</v>
      </c>
      <c r="G1466" s="123" t="s">
        <v>2501</v>
      </c>
    </row>
    <row r="1467" spans="6:7" x14ac:dyDescent="0.2">
      <c r="F1467" s="123">
        <v>26688</v>
      </c>
      <c r="G1467" s="123" t="s">
        <v>2502</v>
      </c>
    </row>
    <row r="1468" spans="6:7" x14ac:dyDescent="0.2">
      <c r="F1468" s="123">
        <v>26705</v>
      </c>
      <c r="G1468" s="123" t="s">
        <v>2503</v>
      </c>
    </row>
    <row r="1469" spans="6:7" x14ac:dyDescent="0.2">
      <c r="F1469" s="123">
        <v>26718</v>
      </c>
      <c r="G1469" s="123" t="s">
        <v>2504</v>
      </c>
    </row>
    <row r="1470" spans="6:7" x14ac:dyDescent="0.2">
      <c r="F1470" s="123">
        <v>26747</v>
      </c>
      <c r="G1470" s="123" t="s">
        <v>2505</v>
      </c>
    </row>
    <row r="1471" spans="6:7" x14ac:dyDescent="0.2">
      <c r="F1471" s="123">
        <v>26768</v>
      </c>
      <c r="G1471" s="123" t="s">
        <v>2506</v>
      </c>
    </row>
    <row r="1472" spans="6:7" x14ac:dyDescent="0.2">
      <c r="F1472" s="123">
        <v>26785</v>
      </c>
      <c r="G1472" s="123" t="s">
        <v>2507</v>
      </c>
    </row>
    <row r="1473" spans="6:7" x14ac:dyDescent="0.2">
      <c r="F1473" s="123">
        <v>26801</v>
      </c>
      <c r="G1473" s="123" t="s">
        <v>2508</v>
      </c>
    </row>
    <row r="1474" spans="6:7" x14ac:dyDescent="0.2">
      <c r="F1474" s="123">
        <v>26913</v>
      </c>
      <c r="G1474" s="123" t="s">
        <v>2509</v>
      </c>
    </row>
    <row r="1475" spans="6:7" x14ac:dyDescent="0.2">
      <c r="F1475" s="123">
        <v>27003</v>
      </c>
      <c r="G1475" s="123" t="s">
        <v>2510</v>
      </c>
    </row>
    <row r="1476" spans="6:7" x14ac:dyDescent="0.2">
      <c r="F1476" s="123">
        <v>27008</v>
      </c>
      <c r="G1476" s="123" t="s">
        <v>2511</v>
      </c>
    </row>
    <row r="1477" spans="6:7" x14ac:dyDescent="0.2">
      <c r="F1477" s="123">
        <v>27010</v>
      </c>
      <c r="G1477" s="123" t="s">
        <v>2512</v>
      </c>
    </row>
    <row r="1478" spans="6:7" x14ac:dyDescent="0.2">
      <c r="F1478" s="123">
        <v>27013</v>
      </c>
      <c r="G1478" s="123" t="s">
        <v>2513</v>
      </c>
    </row>
    <row r="1479" spans="6:7" x14ac:dyDescent="0.2">
      <c r="F1479" s="123">
        <v>27060</v>
      </c>
      <c r="G1479" s="123" t="s">
        <v>2514</v>
      </c>
    </row>
    <row r="1480" spans="6:7" x14ac:dyDescent="0.2">
      <c r="F1480" s="123">
        <v>27081</v>
      </c>
      <c r="G1480" s="123" t="s">
        <v>2515</v>
      </c>
    </row>
    <row r="1481" spans="6:7" x14ac:dyDescent="0.2">
      <c r="F1481" s="123">
        <v>27082</v>
      </c>
      <c r="G1481" s="123" t="s">
        <v>2516</v>
      </c>
    </row>
    <row r="1482" spans="6:7" x14ac:dyDescent="0.2">
      <c r="F1482" s="123">
        <v>27100</v>
      </c>
      <c r="G1482" s="123" t="s">
        <v>2517</v>
      </c>
    </row>
    <row r="1483" spans="6:7" x14ac:dyDescent="0.2">
      <c r="F1483" s="123">
        <v>27116</v>
      </c>
      <c r="G1483" s="123" t="s">
        <v>2518</v>
      </c>
    </row>
    <row r="1484" spans="6:7" x14ac:dyDescent="0.2">
      <c r="F1484" s="123">
        <v>27152</v>
      </c>
      <c r="G1484" s="123" t="s">
        <v>2519</v>
      </c>
    </row>
    <row r="1485" spans="6:7" x14ac:dyDescent="0.2">
      <c r="F1485" s="123">
        <v>27183</v>
      </c>
      <c r="G1485" s="123" t="s">
        <v>2520</v>
      </c>
    </row>
    <row r="1486" spans="6:7" x14ac:dyDescent="0.2">
      <c r="F1486" s="123">
        <v>27202</v>
      </c>
      <c r="G1486" s="123" t="s">
        <v>2521</v>
      </c>
    </row>
    <row r="1487" spans="6:7" x14ac:dyDescent="0.2">
      <c r="F1487" s="123">
        <v>27215</v>
      </c>
      <c r="G1487" s="123" t="s">
        <v>2522</v>
      </c>
    </row>
    <row r="1488" spans="6:7" x14ac:dyDescent="0.2">
      <c r="F1488" s="123">
        <v>27228</v>
      </c>
      <c r="G1488" s="123" t="s">
        <v>2523</v>
      </c>
    </row>
    <row r="1489" spans="6:7" x14ac:dyDescent="0.2">
      <c r="F1489" s="123">
        <v>27329</v>
      </c>
      <c r="G1489" s="123" t="s">
        <v>2524</v>
      </c>
    </row>
    <row r="1490" spans="6:7" x14ac:dyDescent="0.2">
      <c r="F1490" s="123">
        <v>27366</v>
      </c>
      <c r="G1490" s="123" t="s">
        <v>2525</v>
      </c>
    </row>
    <row r="1491" spans="6:7" x14ac:dyDescent="0.2">
      <c r="F1491" s="123">
        <v>27441</v>
      </c>
      <c r="G1491" s="123" t="s">
        <v>2526</v>
      </c>
    </row>
    <row r="1492" spans="6:7" x14ac:dyDescent="0.2">
      <c r="F1492" s="123">
        <v>27446</v>
      </c>
      <c r="G1492" s="123" t="s">
        <v>2527</v>
      </c>
    </row>
    <row r="1493" spans="6:7" x14ac:dyDescent="0.2">
      <c r="F1493" s="123">
        <v>27450</v>
      </c>
      <c r="G1493" s="123" t="s">
        <v>2528</v>
      </c>
    </row>
    <row r="1494" spans="6:7" x14ac:dyDescent="0.2">
      <c r="F1494" s="123">
        <v>27473</v>
      </c>
      <c r="G1494" s="123" t="s">
        <v>2529</v>
      </c>
    </row>
    <row r="1495" spans="6:7" x14ac:dyDescent="0.2">
      <c r="F1495" s="123">
        <v>27507</v>
      </c>
      <c r="G1495" s="123" t="s">
        <v>2530</v>
      </c>
    </row>
    <row r="1496" spans="6:7" x14ac:dyDescent="0.2">
      <c r="F1496" s="123">
        <v>27548</v>
      </c>
      <c r="G1496" s="123" t="s">
        <v>2531</v>
      </c>
    </row>
    <row r="1497" spans="6:7" x14ac:dyDescent="0.2">
      <c r="F1497" s="123">
        <v>27555</v>
      </c>
      <c r="G1497" s="123" t="s">
        <v>2532</v>
      </c>
    </row>
    <row r="1498" spans="6:7" x14ac:dyDescent="0.2">
      <c r="F1498" s="123">
        <v>27556</v>
      </c>
      <c r="G1498" s="123" t="s">
        <v>2533</v>
      </c>
    </row>
    <row r="1499" spans="6:7" x14ac:dyDescent="0.2">
      <c r="F1499" s="123">
        <v>27576</v>
      </c>
      <c r="G1499" s="123" t="s">
        <v>2534</v>
      </c>
    </row>
    <row r="1500" spans="6:7" x14ac:dyDescent="0.2">
      <c r="F1500" s="123">
        <v>27644</v>
      </c>
      <c r="G1500" s="123" t="s">
        <v>2535</v>
      </c>
    </row>
    <row r="1501" spans="6:7" x14ac:dyDescent="0.2">
      <c r="F1501" s="123">
        <v>27748</v>
      </c>
      <c r="G1501" s="123" t="s">
        <v>2536</v>
      </c>
    </row>
    <row r="1502" spans="6:7" x14ac:dyDescent="0.2">
      <c r="F1502" s="123">
        <v>27761</v>
      </c>
      <c r="G1502" s="123" t="s">
        <v>2537</v>
      </c>
    </row>
    <row r="1503" spans="6:7" x14ac:dyDescent="0.2">
      <c r="F1503" s="123">
        <v>27777</v>
      </c>
      <c r="G1503" s="123" t="s">
        <v>2538</v>
      </c>
    </row>
    <row r="1504" spans="6:7" x14ac:dyDescent="0.2">
      <c r="F1504" s="123">
        <v>27783</v>
      </c>
      <c r="G1504" s="123" t="s">
        <v>2539</v>
      </c>
    </row>
    <row r="1505" spans="6:7" x14ac:dyDescent="0.2">
      <c r="F1505" s="123">
        <v>27788</v>
      </c>
      <c r="G1505" s="123" t="s">
        <v>2540</v>
      </c>
    </row>
    <row r="1506" spans="6:7" x14ac:dyDescent="0.2">
      <c r="F1506" s="123">
        <v>27791</v>
      </c>
      <c r="G1506" s="123" t="s">
        <v>2541</v>
      </c>
    </row>
    <row r="1507" spans="6:7" x14ac:dyDescent="0.2">
      <c r="F1507" s="123">
        <v>27792</v>
      </c>
      <c r="G1507" s="123" t="s">
        <v>2542</v>
      </c>
    </row>
    <row r="1508" spans="6:7" x14ac:dyDescent="0.2">
      <c r="F1508" s="123">
        <v>27793</v>
      </c>
      <c r="G1508" s="123" t="s">
        <v>2543</v>
      </c>
    </row>
    <row r="1509" spans="6:7" x14ac:dyDescent="0.2">
      <c r="F1509" s="123">
        <v>27794</v>
      </c>
      <c r="G1509" s="123" t="s">
        <v>2544</v>
      </c>
    </row>
    <row r="1510" spans="6:7" x14ac:dyDescent="0.2">
      <c r="F1510" s="123">
        <v>27797</v>
      </c>
      <c r="G1510" s="123" t="s">
        <v>2545</v>
      </c>
    </row>
    <row r="1511" spans="6:7" x14ac:dyDescent="0.2">
      <c r="F1511" s="123">
        <v>27798</v>
      </c>
      <c r="G1511" s="123" t="s">
        <v>2546</v>
      </c>
    </row>
    <row r="1512" spans="6:7" x14ac:dyDescent="0.2">
      <c r="F1512" s="123">
        <v>27799</v>
      </c>
      <c r="G1512" s="123" t="s">
        <v>2547</v>
      </c>
    </row>
    <row r="1513" spans="6:7" x14ac:dyDescent="0.2">
      <c r="F1513" s="123">
        <v>27801</v>
      </c>
      <c r="G1513" s="123" t="s">
        <v>2548</v>
      </c>
    </row>
    <row r="1514" spans="6:7" x14ac:dyDescent="0.2">
      <c r="F1514" s="123">
        <v>27805</v>
      </c>
      <c r="G1514" s="123" t="s">
        <v>2549</v>
      </c>
    </row>
    <row r="1515" spans="6:7" x14ac:dyDescent="0.2">
      <c r="F1515" s="123">
        <v>27806</v>
      </c>
      <c r="G1515" s="123" t="s">
        <v>2550</v>
      </c>
    </row>
    <row r="1516" spans="6:7" x14ac:dyDescent="0.2">
      <c r="F1516" s="123">
        <v>27807</v>
      </c>
      <c r="G1516" s="123" t="s">
        <v>2551</v>
      </c>
    </row>
    <row r="1517" spans="6:7" x14ac:dyDescent="0.2">
      <c r="F1517" s="123">
        <v>27808</v>
      </c>
      <c r="G1517" s="123" t="s">
        <v>2552</v>
      </c>
    </row>
    <row r="1518" spans="6:7" x14ac:dyDescent="0.2">
      <c r="F1518" s="123">
        <v>27809</v>
      </c>
      <c r="G1518" s="123" t="s">
        <v>2553</v>
      </c>
    </row>
    <row r="1519" spans="6:7" x14ac:dyDescent="0.2">
      <c r="F1519" s="123">
        <v>27810</v>
      </c>
      <c r="G1519" s="123" t="s">
        <v>2554</v>
      </c>
    </row>
    <row r="1520" spans="6:7" x14ac:dyDescent="0.2">
      <c r="F1520" s="123">
        <v>27812</v>
      </c>
      <c r="G1520" s="123" t="s">
        <v>2555</v>
      </c>
    </row>
    <row r="1521" spans="6:7" x14ac:dyDescent="0.2">
      <c r="F1521" s="123">
        <v>27813</v>
      </c>
      <c r="G1521" s="123" t="s">
        <v>2556</v>
      </c>
    </row>
    <row r="1522" spans="6:7" x14ac:dyDescent="0.2">
      <c r="F1522" s="123">
        <v>27814</v>
      </c>
      <c r="G1522" s="123" t="s">
        <v>2557</v>
      </c>
    </row>
    <row r="1523" spans="6:7" x14ac:dyDescent="0.2">
      <c r="F1523" s="123">
        <v>27816</v>
      </c>
      <c r="G1523" s="123" t="s">
        <v>2558</v>
      </c>
    </row>
    <row r="1524" spans="6:7" x14ac:dyDescent="0.2">
      <c r="F1524" s="123">
        <v>27817</v>
      </c>
      <c r="G1524" s="123" t="s">
        <v>2559</v>
      </c>
    </row>
    <row r="1525" spans="6:7" x14ac:dyDescent="0.2">
      <c r="F1525" s="123">
        <v>27818</v>
      </c>
      <c r="G1525" s="123" t="s">
        <v>2560</v>
      </c>
    </row>
    <row r="1526" spans="6:7" x14ac:dyDescent="0.2">
      <c r="F1526" s="123">
        <v>27823</v>
      </c>
      <c r="G1526" s="123" t="s">
        <v>2561</v>
      </c>
    </row>
    <row r="1527" spans="6:7" x14ac:dyDescent="0.2">
      <c r="F1527" s="123">
        <v>27824</v>
      </c>
      <c r="G1527" s="123" t="s">
        <v>2562</v>
      </c>
    </row>
    <row r="1528" spans="6:7" x14ac:dyDescent="0.2">
      <c r="F1528" s="123">
        <v>27825</v>
      </c>
      <c r="G1528" s="123" t="s">
        <v>2563</v>
      </c>
    </row>
    <row r="1529" spans="6:7" x14ac:dyDescent="0.2">
      <c r="F1529" s="123">
        <v>27829</v>
      </c>
      <c r="G1529" s="123" t="s">
        <v>2564</v>
      </c>
    </row>
    <row r="1530" spans="6:7" x14ac:dyDescent="0.2">
      <c r="F1530" s="123">
        <v>27831</v>
      </c>
      <c r="G1530" s="123" t="s">
        <v>2565</v>
      </c>
    </row>
    <row r="1531" spans="6:7" x14ac:dyDescent="0.2">
      <c r="F1531" s="123">
        <v>27832</v>
      </c>
      <c r="G1531" s="123" t="s">
        <v>2566</v>
      </c>
    </row>
    <row r="1532" spans="6:7" x14ac:dyDescent="0.2">
      <c r="F1532" s="123">
        <v>27834</v>
      </c>
      <c r="G1532" s="123" t="s">
        <v>2567</v>
      </c>
    </row>
    <row r="1533" spans="6:7" x14ac:dyDescent="0.2">
      <c r="F1533" s="123">
        <v>27835</v>
      </c>
      <c r="G1533" s="123" t="s">
        <v>2568</v>
      </c>
    </row>
    <row r="1534" spans="6:7" x14ac:dyDescent="0.2">
      <c r="F1534" s="123">
        <v>27839</v>
      </c>
      <c r="G1534" s="123" t="s">
        <v>2569</v>
      </c>
    </row>
    <row r="1535" spans="6:7" x14ac:dyDescent="0.2">
      <c r="F1535" s="123">
        <v>27840</v>
      </c>
      <c r="G1535" s="123" t="s">
        <v>2570</v>
      </c>
    </row>
    <row r="1536" spans="6:7" x14ac:dyDescent="0.2">
      <c r="F1536" s="123">
        <v>27841</v>
      </c>
      <c r="G1536" s="123" t="s">
        <v>2571</v>
      </c>
    </row>
    <row r="1537" spans="6:7" x14ac:dyDescent="0.2">
      <c r="F1537" s="123">
        <v>27842</v>
      </c>
      <c r="G1537" s="123" t="s">
        <v>2572</v>
      </c>
    </row>
    <row r="1538" spans="6:7" x14ac:dyDescent="0.2">
      <c r="F1538" s="123">
        <v>27844</v>
      </c>
      <c r="G1538" s="123" t="s">
        <v>2573</v>
      </c>
    </row>
    <row r="1539" spans="6:7" x14ac:dyDescent="0.2">
      <c r="F1539" s="123">
        <v>27845</v>
      </c>
      <c r="G1539" s="123" t="s">
        <v>2574</v>
      </c>
    </row>
    <row r="1540" spans="6:7" x14ac:dyDescent="0.2">
      <c r="F1540" s="123">
        <v>27849</v>
      </c>
      <c r="G1540" s="123" t="s">
        <v>2575</v>
      </c>
    </row>
    <row r="1541" spans="6:7" x14ac:dyDescent="0.2">
      <c r="F1541" s="123">
        <v>27852</v>
      </c>
      <c r="G1541" s="123" t="s">
        <v>2576</v>
      </c>
    </row>
    <row r="1542" spans="6:7" x14ac:dyDescent="0.2">
      <c r="F1542" s="123">
        <v>27856</v>
      </c>
      <c r="G1542" s="123" t="s">
        <v>2577</v>
      </c>
    </row>
    <row r="1543" spans="6:7" x14ac:dyDescent="0.2">
      <c r="F1543" s="123">
        <v>27858</v>
      </c>
      <c r="G1543" s="123" t="s">
        <v>2578</v>
      </c>
    </row>
    <row r="1544" spans="6:7" x14ac:dyDescent="0.2">
      <c r="F1544" s="123">
        <v>27861</v>
      </c>
      <c r="G1544" s="123" t="s">
        <v>2579</v>
      </c>
    </row>
    <row r="1545" spans="6:7" x14ac:dyDescent="0.2">
      <c r="F1545" s="123">
        <v>27862</v>
      </c>
      <c r="G1545" s="123" t="s">
        <v>2580</v>
      </c>
    </row>
    <row r="1546" spans="6:7" x14ac:dyDescent="0.2">
      <c r="F1546" s="123">
        <v>27866</v>
      </c>
      <c r="G1546" s="123" t="s">
        <v>2581</v>
      </c>
    </row>
    <row r="1547" spans="6:7" x14ac:dyDescent="0.2">
      <c r="F1547" s="123">
        <v>27867</v>
      </c>
      <c r="G1547" s="123" t="s">
        <v>2582</v>
      </c>
    </row>
    <row r="1548" spans="6:7" x14ac:dyDescent="0.2">
      <c r="F1548" s="123">
        <v>27871</v>
      </c>
      <c r="G1548" s="123" t="s">
        <v>2583</v>
      </c>
    </row>
    <row r="1549" spans="6:7" x14ac:dyDescent="0.2">
      <c r="F1549" s="123">
        <v>27872</v>
      </c>
      <c r="G1549" s="123" t="s">
        <v>2584</v>
      </c>
    </row>
    <row r="1550" spans="6:7" x14ac:dyDescent="0.2">
      <c r="F1550" s="123">
        <v>27873</v>
      </c>
      <c r="G1550" s="123" t="s">
        <v>2585</v>
      </c>
    </row>
    <row r="1551" spans="6:7" x14ac:dyDescent="0.2">
      <c r="F1551" s="123">
        <v>27875</v>
      </c>
      <c r="G1551" s="123" t="s">
        <v>2586</v>
      </c>
    </row>
    <row r="1552" spans="6:7" x14ac:dyDescent="0.2">
      <c r="F1552" s="123">
        <v>27876</v>
      </c>
      <c r="G1552" s="123" t="s">
        <v>2587</v>
      </c>
    </row>
    <row r="1553" spans="6:7" x14ac:dyDescent="0.2">
      <c r="F1553" s="123">
        <v>27883</v>
      </c>
      <c r="G1553" s="123" t="s">
        <v>2588</v>
      </c>
    </row>
    <row r="1554" spans="6:7" x14ac:dyDescent="0.2">
      <c r="F1554" s="123">
        <v>27885</v>
      </c>
      <c r="G1554" s="123" t="s">
        <v>2589</v>
      </c>
    </row>
    <row r="1555" spans="6:7" x14ac:dyDescent="0.2">
      <c r="F1555" s="123">
        <v>27889</v>
      </c>
      <c r="G1555" s="123" t="s">
        <v>2590</v>
      </c>
    </row>
    <row r="1556" spans="6:7" x14ac:dyDescent="0.2">
      <c r="F1556" s="123">
        <v>27890</v>
      </c>
      <c r="G1556" s="123" t="s">
        <v>2591</v>
      </c>
    </row>
    <row r="1557" spans="6:7" x14ac:dyDescent="0.2">
      <c r="F1557" s="123">
        <v>27891</v>
      </c>
      <c r="G1557" s="123" t="s">
        <v>2592</v>
      </c>
    </row>
    <row r="1558" spans="6:7" x14ac:dyDescent="0.2">
      <c r="F1558" s="123">
        <v>27893</v>
      </c>
      <c r="G1558" s="123" t="s">
        <v>2593</v>
      </c>
    </row>
    <row r="1559" spans="6:7" x14ac:dyDescent="0.2">
      <c r="F1559" s="123">
        <v>27897</v>
      </c>
      <c r="G1559" s="123" t="s">
        <v>2594</v>
      </c>
    </row>
    <row r="1560" spans="6:7" x14ac:dyDescent="0.2">
      <c r="F1560" s="123">
        <v>27898</v>
      </c>
      <c r="G1560" s="123" t="s">
        <v>2595</v>
      </c>
    </row>
    <row r="1561" spans="6:7" x14ac:dyDescent="0.2">
      <c r="F1561" s="123">
        <v>27901</v>
      </c>
      <c r="G1561" s="123" t="s">
        <v>2596</v>
      </c>
    </row>
    <row r="1562" spans="6:7" x14ac:dyDescent="0.2">
      <c r="F1562" s="123">
        <v>27906</v>
      </c>
      <c r="G1562" s="123" t="s">
        <v>2597</v>
      </c>
    </row>
    <row r="1563" spans="6:7" x14ac:dyDescent="0.2">
      <c r="F1563" s="123">
        <v>27907</v>
      </c>
      <c r="G1563" s="123" t="s">
        <v>2598</v>
      </c>
    </row>
    <row r="1564" spans="6:7" x14ac:dyDescent="0.2">
      <c r="F1564" s="123">
        <v>27910</v>
      </c>
      <c r="G1564" s="123" t="s">
        <v>2599</v>
      </c>
    </row>
    <row r="1565" spans="6:7" x14ac:dyDescent="0.2">
      <c r="F1565" s="123">
        <v>27913</v>
      </c>
      <c r="G1565" s="123" t="s">
        <v>2600</v>
      </c>
    </row>
    <row r="1566" spans="6:7" x14ac:dyDescent="0.2">
      <c r="F1566" s="123">
        <v>27914</v>
      </c>
      <c r="G1566" s="123" t="s">
        <v>2601</v>
      </c>
    </row>
    <row r="1567" spans="6:7" x14ac:dyDescent="0.2">
      <c r="F1567" s="123">
        <v>27915</v>
      </c>
      <c r="G1567" s="123" t="s">
        <v>2602</v>
      </c>
    </row>
    <row r="1568" spans="6:7" x14ac:dyDescent="0.2">
      <c r="F1568" s="123">
        <v>27916</v>
      </c>
      <c r="G1568" s="123" t="s">
        <v>2603</v>
      </c>
    </row>
    <row r="1569" spans="6:7" x14ac:dyDescent="0.2">
      <c r="F1569" s="123">
        <v>27917</v>
      </c>
      <c r="G1569" s="123" t="s">
        <v>2604</v>
      </c>
    </row>
    <row r="1570" spans="6:7" x14ac:dyDescent="0.2">
      <c r="F1570" s="123">
        <v>27918</v>
      </c>
      <c r="G1570" s="123" t="s">
        <v>2605</v>
      </c>
    </row>
    <row r="1571" spans="6:7" x14ac:dyDescent="0.2">
      <c r="F1571" s="123">
        <v>27920</v>
      </c>
      <c r="G1571" s="123" t="s">
        <v>2606</v>
      </c>
    </row>
    <row r="1572" spans="6:7" x14ac:dyDescent="0.2">
      <c r="F1572" s="123">
        <v>27921</v>
      </c>
      <c r="G1572" s="123" t="s">
        <v>2607</v>
      </c>
    </row>
    <row r="1573" spans="6:7" x14ac:dyDescent="0.2">
      <c r="F1573" s="123">
        <v>27922</v>
      </c>
      <c r="G1573" s="123" t="s">
        <v>2608</v>
      </c>
    </row>
    <row r="1574" spans="6:7" x14ac:dyDescent="0.2">
      <c r="F1574" s="123">
        <v>27923</v>
      </c>
      <c r="G1574" s="123" t="s">
        <v>2609</v>
      </c>
    </row>
    <row r="1575" spans="6:7" x14ac:dyDescent="0.2">
      <c r="F1575" s="123">
        <v>27926</v>
      </c>
      <c r="G1575" s="123" t="s">
        <v>2610</v>
      </c>
    </row>
    <row r="1576" spans="6:7" x14ac:dyDescent="0.2">
      <c r="F1576" s="123">
        <v>27929</v>
      </c>
      <c r="G1576" s="123" t="s">
        <v>2611</v>
      </c>
    </row>
    <row r="1577" spans="6:7" x14ac:dyDescent="0.2">
      <c r="F1577" s="123">
        <v>27930</v>
      </c>
      <c r="G1577" s="123" t="s">
        <v>2612</v>
      </c>
    </row>
    <row r="1578" spans="6:7" x14ac:dyDescent="0.2">
      <c r="F1578" s="123">
        <v>27931</v>
      </c>
      <c r="G1578" s="123" t="s">
        <v>2613</v>
      </c>
    </row>
    <row r="1579" spans="6:7" x14ac:dyDescent="0.2">
      <c r="F1579" s="123">
        <v>27932</v>
      </c>
      <c r="G1579" s="123" t="s">
        <v>2614</v>
      </c>
    </row>
    <row r="1580" spans="6:7" x14ac:dyDescent="0.2">
      <c r="F1580" s="123">
        <v>27936</v>
      </c>
      <c r="G1580" s="123" t="s">
        <v>2615</v>
      </c>
    </row>
    <row r="1581" spans="6:7" x14ac:dyDescent="0.2">
      <c r="F1581" s="123">
        <v>27937</v>
      </c>
      <c r="G1581" s="123" t="s">
        <v>2616</v>
      </c>
    </row>
    <row r="1582" spans="6:7" x14ac:dyDescent="0.2">
      <c r="F1582" s="123">
        <v>27939</v>
      </c>
      <c r="G1582" s="123" t="s">
        <v>2617</v>
      </c>
    </row>
    <row r="1583" spans="6:7" x14ac:dyDescent="0.2">
      <c r="F1583" s="123">
        <v>27941</v>
      </c>
      <c r="G1583" s="123" t="s">
        <v>2618</v>
      </c>
    </row>
    <row r="1584" spans="6:7" x14ac:dyDescent="0.2">
      <c r="F1584" s="123">
        <v>27945</v>
      </c>
      <c r="G1584" s="123" t="s">
        <v>2619</v>
      </c>
    </row>
    <row r="1585" spans="6:7" x14ac:dyDescent="0.2">
      <c r="F1585" s="123">
        <v>27948</v>
      </c>
      <c r="G1585" s="123" t="s">
        <v>2620</v>
      </c>
    </row>
    <row r="1586" spans="6:7" x14ac:dyDescent="0.2">
      <c r="F1586" s="123">
        <v>27949</v>
      </c>
      <c r="G1586" s="123" t="s">
        <v>2621</v>
      </c>
    </row>
    <row r="1587" spans="6:7" x14ac:dyDescent="0.2">
      <c r="F1587" s="123">
        <v>27950</v>
      </c>
      <c r="G1587" s="123" t="s">
        <v>2622</v>
      </c>
    </row>
    <row r="1588" spans="6:7" x14ac:dyDescent="0.2">
      <c r="F1588" s="123">
        <v>27953</v>
      </c>
      <c r="G1588" s="123" t="s">
        <v>2623</v>
      </c>
    </row>
    <row r="1589" spans="6:7" x14ac:dyDescent="0.2">
      <c r="F1589" s="123">
        <v>27954</v>
      </c>
      <c r="G1589" s="123" t="s">
        <v>2624</v>
      </c>
    </row>
    <row r="1590" spans="6:7" x14ac:dyDescent="0.2">
      <c r="F1590" s="123">
        <v>27956</v>
      </c>
      <c r="G1590" s="123" t="s">
        <v>2625</v>
      </c>
    </row>
    <row r="1591" spans="6:7" x14ac:dyDescent="0.2">
      <c r="F1591" s="123">
        <v>27957</v>
      </c>
      <c r="G1591" s="123" t="s">
        <v>2626</v>
      </c>
    </row>
    <row r="1592" spans="6:7" x14ac:dyDescent="0.2">
      <c r="F1592" s="123">
        <v>27959</v>
      </c>
      <c r="G1592" s="123" t="s">
        <v>2627</v>
      </c>
    </row>
    <row r="1593" spans="6:7" x14ac:dyDescent="0.2">
      <c r="F1593" s="123">
        <v>27960</v>
      </c>
      <c r="G1593" s="123" t="s">
        <v>2628</v>
      </c>
    </row>
    <row r="1594" spans="6:7" x14ac:dyDescent="0.2">
      <c r="F1594" s="123">
        <v>27961</v>
      </c>
      <c r="G1594" s="123" t="s">
        <v>2629</v>
      </c>
    </row>
    <row r="1595" spans="6:7" x14ac:dyDescent="0.2">
      <c r="F1595" s="123">
        <v>27963</v>
      </c>
      <c r="G1595" s="123" t="s">
        <v>2630</v>
      </c>
    </row>
    <row r="1596" spans="6:7" x14ac:dyDescent="0.2">
      <c r="F1596" s="123">
        <v>27964</v>
      </c>
      <c r="G1596" s="123" t="s">
        <v>2631</v>
      </c>
    </row>
    <row r="1597" spans="6:7" x14ac:dyDescent="0.2">
      <c r="F1597" s="123">
        <v>27968</v>
      </c>
      <c r="G1597" s="123" t="s">
        <v>2632</v>
      </c>
    </row>
    <row r="1598" spans="6:7" x14ac:dyDescent="0.2">
      <c r="F1598" s="123">
        <v>27969</v>
      </c>
      <c r="G1598" s="123" t="s">
        <v>2633</v>
      </c>
    </row>
    <row r="1599" spans="6:7" x14ac:dyDescent="0.2">
      <c r="F1599" s="123">
        <v>27970</v>
      </c>
      <c r="G1599" s="123" t="s">
        <v>2634</v>
      </c>
    </row>
    <row r="1600" spans="6:7" x14ac:dyDescent="0.2">
      <c r="F1600" s="123">
        <v>27972</v>
      </c>
      <c r="G1600" s="123" t="s">
        <v>2635</v>
      </c>
    </row>
    <row r="1601" spans="6:7" x14ac:dyDescent="0.2">
      <c r="F1601" s="123">
        <v>27975</v>
      </c>
      <c r="G1601" s="123" t="s">
        <v>2636</v>
      </c>
    </row>
    <row r="1602" spans="6:7" x14ac:dyDescent="0.2">
      <c r="F1602" s="123">
        <v>27981</v>
      </c>
      <c r="G1602" s="123" t="s">
        <v>2637</v>
      </c>
    </row>
    <row r="1603" spans="6:7" x14ac:dyDescent="0.2">
      <c r="F1603" s="123">
        <v>27983</v>
      </c>
      <c r="G1603" s="123" t="s">
        <v>2638</v>
      </c>
    </row>
    <row r="1604" spans="6:7" x14ac:dyDescent="0.2">
      <c r="F1604" s="123">
        <v>27984</v>
      </c>
      <c r="G1604" s="123" t="s">
        <v>2639</v>
      </c>
    </row>
    <row r="1605" spans="6:7" x14ac:dyDescent="0.2">
      <c r="F1605" s="123">
        <v>27986</v>
      </c>
      <c r="G1605" s="123" t="s">
        <v>2640</v>
      </c>
    </row>
    <row r="1606" spans="6:7" x14ac:dyDescent="0.2">
      <c r="F1606" s="123">
        <v>27988</v>
      </c>
      <c r="G1606" s="123" t="s">
        <v>2641</v>
      </c>
    </row>
    <row r="1607" spans="6:7" x14ac:dyDescent="0.2">
      <c r="F1607" s="123">
        <v>27989</v>
      </c>
      <c r="G1607" s="123" t="s">
        <v>2642</v>
      </c>
    </row>
    <row r="1608" spans="6:7" x14ac:dyDescent="0.2">
      <c r="F1608" s="123">
        <v>27990</v>
      </c>
      <c r="G1608" s="123" t="s">
        <v>2643</v>
      </c>
    </row>
    <row r="1609" spans="6:7" x14ac:dyDescent="0.2">
      <c r="F1609" s="123">
        <v>27992</v>
      </c>
      <c r="G1609" s="123" t="s">
        <v>2644</v>
      </c>
    </row>
    <row r="1610" spans="6:7" x14ac:dyDescent="0.2">
      <c r="F1610" s="123">
        <v>27993</v>
      </c>
      <c r="G1610" s="123" t="s">
        <v>2645</v>
      </c>
    </row>
    <row r="1611" spans="6:7" x14ac:dyDescent="0.2">
      <c r="F1611" s="123">
        <v>27996</v>
      </c>
      <c r="G1611" s="123" t="s">
        <v>2646</v>
      </c>
    </row>
    <row r="1612" spans="6:7" x14ac:dyDescent="0.2">
      <c r="F1612" s="123">
        <v>27999</v>
      </c>
      <c r="G1612" s="123" t="s">
        <v>2647</v>
      </c>
    </row>
    <row r="1613" spans="6:7" x14ac:dyDescent="0.2">
      <c r="F1613" s="123">
        <v>28000</v>
      </c>
      <c r="G1613" s="123" t="s">
        <v>2648</v>
      </c>
    </row>
    <row r="1614" spans="6:7" x14ac:dyDescent="0.2">
      <c r="F1614" s="123">
        <v>28001</v>
      </c>
      <c r="G1614" s="123" t="s">
        <v>2649</v>
      </c>
    </row>
    <row r="1615" spans="6:7" x14ac:dyDescent="0.2">
      <c r="F1615" s="123">
        <v>28003</v>
      </c>
      <c r="G1615" s="123" t="s">
        <v>2650</v>
      </c>
    </row>
    <row r="1616" spans="6:7" x14ac:dyDescent="0.2">
      <c r="F1616" s="123">
        <v>28004</v>
      </c>
      <c r="G1616" s="123" t="s">
        <v>2651</v>
      </c>
    </row>
    <row r="1617" spans="6:7" x14ac:dyDescent="0.2">
      <c r="F1617" s="123">
        <v>28005</v>
      </c>
      <c r="G1617" s="123" t="s">
        <v>2652</v>
      </c>
    </row>
    <row r="1618" spans="6:7" x14ac:dyDescent="0.2">
      <c r="F1618" s="123">
        <v>28006</v>
      </c>
      <c r="G1618" s="123" t="s">
        <v>2653</v>
      </c>
    </row>
    <row r="1619" spans="6:7" x14ac:dyDescent="0.2">
      <c r="F1619" s="123">
        <v>28009</v>
      </c>
      <c r="G1619" s="123" t="s">
        <v>2654</v>
      </c>
    </row>
    <row r="1620" spans="6:7" x14ac:dyDescent="0.2">
      <c r="F1620" s="123">
        <v>28012</v>
      </c>
      <c r="G1620" s="123" t="s">
        <v>2655</v>
      </c>
    </row>
    <row r="1621" spans="6:7" x14ac:dyDescent="0.2">
      <c r="F1621" s="123">
        <v>28013</v>
      </c>
      <c r="G1621" s="123" t="s">
        <v>2656</v>
      </c>
    </row>
    <row r="1622" spans="6:7" x14ac:dyDescent="0.2">
      <c r="F1622" s="123">
        <v>28014</v>
      </c>
      <c r="G1622" s="123" t="s">
        <v>2657</v>
      </c>
    </row>
    <row r="1623" spans="6:7" x14ac:dyDescent="0.2">
      <c r="F1623" s="123">
        <v>28015</v>
      </c>
      <c r="G1623" s="123" t="s">
        <v>2658</v>
      </c>
    </row>
    <row r="1624" spans="6:7" x14ac:dyDescent="0.2">
      <c r="F1624" s="123">
        <v>28016</v>
      </c>
      <c r="G1624" s="123" t="s">
        <v>2659</v>
      </c>
    </row>
    <row r="1625" spans="6:7" x14ac:dyDescent="0.2">
      <c r="F1625" s="123">
        <v>28017</v>
      </c>
      <c r="G1625" s="123" t="s">
        <v>2660</v>
      </c>
    </row>
    <row r="1626" spans="6:7" x14ac:dyDescent="0.2">
      <c r="F1626" s="123">
        <v>28018</v>
      </c>
      <c r="G1626" s="123" t="s">
        <v>2661</v>
      </c>
    </row>
    <row r="1627" spans="6:7" x14ac:dyDescent="0.2">
      <c r="F1627" s="123">
        <v>28019</v>
      </c>
      <c r="G1627" s="123" t="s">
        <v>2662</v>
      </c>
    </row>
    <row r="1628" spans="6:7" x14ac:dyDescent="0.2">
      <c r="F1628" s="123">
        <v>28020</v>
      </c>
      <c r="G1628" s="123" t="s">
        <v>2663</v>
      </c>
    </row>
    <row r="1629" spans="6:7" x14ac:dyDescent="0.2">
      <c r="F1629" s="123">
        <v>28021</v>
      </c>
      <c r="G1629" s="123" t="s">
        <v>2664</v>
      </c>
    </row>
    <row r="1630" spans="6:7" x14ac:dyDescent="0.2">
      <c r="F1630" s="123">
        <v>28022</v>
      </c>
      <c r="G1630" s="123" t="s">
        <v>2665</v>
      </c>
    </row>
    <row r="1631" spans="6:7" x14ac:dyDescent="0.2">
      <c r="F1631" s="123">
        <v>28023</v>
      </c>
      <c r="G1631" s="123" t="s">
        <v>2666</v>
      </c>
    </row>
    <row r="1632" spans="6:7" x14ac:dyDescent="0.2">
      <c r="F1632" s="123">
        <v>28024</v>
      </c>
      <c r="G1632" s="123" t="s">
        <v>2667</v>
      </c>
    </row>
    <row r="1633" spans="6:7" x14ac:dyDescent="0.2">
      <c r="F1633" s="123">
        <v>28025</v>
      </c>
      <c r="G1633" s="123" t="s">
        <v>2668</v>
      </c>
    </row>
    <row r="1634" spans="6:7" x14ac:dyDescent="0.2">
      <c r="F1634" s="123">
        <v>28026</v>
      </c>
      <c r="G1634" s="123" t="s">
        <v>2669</v>
      </c>
    </row>
    <row r="1635" spans="6:7" x14ac:dyDescent="0.2">
      <c r="F1635" s="123">
        <v>28027</v>
      </c>
      <c r="G1635" s="123" t="s">
        <v>2670</v>
      </c>
    </row>
    <row r="1636" spans="6:7" x14ac:dyDescent="0.2">
      <c r="F1636" s="123">
        <v>28028</v>
      </c>
      <c r="G1636" s="123" t="s">
        <v>2671</v>
      </c>
    </row>
    <row r="1637" spans="6:7" x14ac:dyDescent="0.2">
      <c r="F1637" s="123">
        <v>28031</v>
      </c>
      <c r="G1637" s="123" t="s">
        <v>2672</v>
      </c>
    </row>
    <row r="1638" spans="6:7" x14ac:dyDescent="0.2">
      <c r="F1638" s="123">
        <v>28034</v>
      </c>
      <c r="G1638" s="123" t="s">
        <v>2673</v>
      </c>
    </row>
    <row r="1639" spans="6:7" x14ac:dyDescent="0.2">
      <c r="F1639" s="123">
        <v>28035</v>
      </c>
      <c r="G1639" s="123" t="s">
        <v>2674</v>
      </c>
    </row>
    <row r="1640" spans="6:7" x14ac:dyDescent="0.2">
      <c r="F1640" s="123">
        <v>28036</v>
      </c>
      <c r="G1640" s="123" t="s">
        <v>2675</v>
      </c>
    </row>
    <row r="1641" spans="6:7" x14ac:dyDescent="0.2">
      <c r="F1641" s="123">
        <v>28037</v>
      </c>
      <c r="G1641" s="123" t="s">
        <v>2676</v>
      </c>
    </row>
    <row r="1642" spans="6:7" x14ac:dyDescent="0.2">
      <c r="F1642" s="123">
        <v>28038</v>
      </c>
      <c r="G1642" s="123" t="s">
        <v>2677</v>
      </c>
    </row>
    <row r="1643" spans="6:7" x14ac:dyDescent="0.2">
      <c r="F1643" s="123">
        <v>28039</v>
      </c>
      <c r="G1643" s="123" t="s">
        <v>2678</v>
      </c>
    </row>
    <row r="1644" spans="6:7" x14ac:dyDescent="0.2">
      <c r="F1644" s="123">
        <v>28040</v>
      </c>
      <c r="G1644" s="123" t="s">
        <v>2679</v>
      </c>
    </row>
    <row r="1645" spans="6:7" x14ac:dyDescent="0.2">
      <c r="F1645" s="123">
        <v>28041</v>
      </c>
      <c r="G1645" s="123" t="s">
        <v>2680</v>
      </c>
    </row>
    <row r="1646" spans="6:7" x14ac:dyDescent="0.2">
      <c r="F1646" s="123">
        <v>28042</v>
      </c>
      <c r="G1646" s="123" t="s">
        <v>2681</v>
      </c>
    </row>
    <row r="1647" spans="6:7" x14ac:dyDescent="0.2">
      <c r="F1647" s="123">
        <v>28043</v>
      </c>
      <c r="G1647" s="123" t="s">
        <v>2682</v>
      </c>
    </row>
    <row r="1648" spans="6:7" x14ac:dyDescent="0.2">
      <c r="F1648" s="123">
        <v>28044</v>
      </c>
      <c r="G1648" s="123" t="s">
        <v>2683</v>
      </c>
    </row>
    <row r="1649" spans="6:7" x14ac:dyDescent="0.2">
      <c r="F1649" s="123">
        <v>28045</v>
      </c>
      <c r="G1649" s="123" t="s">
        <v>2684</v>
      </c>
    </row>
    <row r="1650" spans="6:7" x14ac:dyDescent="0.2">
      <c r="F1650" s="123">
        <v>28046</v>
      </c>
      <c r="G1650" s="123" t="s">
        <v>2685</v>
      </c>
    </row>
    <row r="1651" spans="6:7" x14ac:dyDescent="0.2">
      <c r="F1651" s="123">
        <v>28047</v>
      </c>
      <c r="G1651" s="123" t="s">
        <v>2686</v>
      </c>
    </row>
    <row r="1652" spans="6:7" x14ac:dyDescent="0.2">
      <c r="F1652" s="123">
        <v>28050</v>
      </c>
      <c r="G1652" s="123" t="s">
        <v>2687</v>
      </c>
    </row>
    <row r="1653" spans="6:7" x14ac:dyDescent="0.2">
      <c r="F1653" s="123">
        <v>28051</v>
      </c>
      <c r="G1653" s="123" t="s">
        <v>2688</v>
      </c>
    </row>
    <row r="1654" spans="6:7" x14ac:dyDescent="0.2">
      <c r="F1654" s="123">
        <v>28053</v>
      </c>
      <c r="G1654" s="123" t="s">
        <v>2689</v>
      </c>
    </row>
    <row r="1655" spans="6:7" x14ac:dyDescent="0.2">
      <c r="F1655" s="123">
        <v>28054</v>
      </c>
      <c r="G1655" s="123" t="s">
        <v>2690</v>
      </c>
    </row>
    <row r="1656" spans="6:7" x14ac:dyDescent="0.2">
      <c r="F1656" s="123">
        <v>28055</v>
      </c>
      <c r="G1656" s="123" t="s">
        <v>2691</v>
      </c>
    </row>
    <row r="1657" spans="6:7" x14ac:dyDescent="0.2">
      <c r="F1657" s="123">
        <v>28057</v>
      </c>
      <c r="G1657" s="123" t="s">
        <v>2692</v>
      </c>
    </row>
    <row r="1658" spans="6:7" x14ac:dyDescent="0.2">
      <c r="F1658" s="123">
        <v>28059</v>
      </c>
      <c r="G1658" s="123" t="s">
        <v>2693</v>
      </c>
    </row>
    <row r="1659" spans="6:7" x14ac:dyDescent="0.2">
      <c r="F1659" s="123">
        <v>28061</v>
      </c>
      <c r="G1659" s="123" t="s">
        <v>2694</v>
      </c>
    </row>
    <row r="1660" spans="6:7" x14ac:dyDescent="0.2">
      <c r="F1660" s="123">
        <v>28062</v>
      </c>
      <c r="G1660" s="123" t="s">
        <v>2695</v>
      </c>
    </row>
    <row r="1661" spans="6:7" x14ac:dyDescent="0.2">
      <c r="F1661" s="123">
        <v>28063</v>
      </c>
      <c r="G1661" s="123" t="s">
        <v>2696</v>
      </c>
    </row>
    <row r="1662" spans="6:7" x14ac:dyDescent="0.2">
      <c r="F1662" s="123">
        <v>28065</v>
      </c>
      <c r="G1662" s="123" t="s">
        <v>2697</v>
      </c>
    </row>
    <row r="1663" spans="6:7" x14ac:dyDescent="0.2">
      <c r="F1663" s="123">
        <v>28066</v>
      </c>
      <c r="G1663" s="123" t="s">
        <v>2698</v>
      </c>
    </row>
    <row r="1664" spans="6:7" x14ac:dyDescent="0.2">
      <c r="F1664" s="123">
        <v>28067</v>
      </c>
      <c r="G1664" s="123" t="s">
        <v>2699</v>
      </c>
    </row>
    <row r="1665" spans="6:7" x14ac:dyDescent="0.2">
      <c r="F1665" s="123">
        <v>28068</v>
      </c>
      <c r="G1665" s="123" t="s">
        <v>2700</v>
      </c>
    </row>
    <row r="1666" spans="6:7" x14ac:dyDescent="0.2">
      <c r="F1666" s="123">
        <v>28070</v>
      </c>
      <c r="G1666" s="123" t="s">
        <v>2701</v>
      </c>
    </row>
    <row r="1667" spans="6:7" x14ac:dyDescent="0.2">
      <c r="F1667" s="123">
        <v>28072</v>
      </c>
      <c r="G1667" s="123" t="s">
        <v>2702</v>
      </c>
    </row>
    <row r="1668" spans="6:7" x14ac:dyDescent="0.2">
      <c r="F1668" s="123">
        <v>28073</v>
      </c>
      <c r="G1668" s="123" t="s">
        <v>2703</v>
      </c>
    </row>
    <row r="1669" spans="6:7" x14ac:dyDescent="0.2">
      <c r="F1669" s="123">
        <v>28074</v>
      </c>
      <c r="G1669" s="123" t="s">
        <v>2704</v>
      </c>
    </row>
    <row r="1670" spans="6:7" x14ac:dyDescent="0.2">
      <c r="F1670" s="123">
        <v>28076</v>
      </c>
      <c r="G1670" s="123" t="s">
        <v>2705</v>
      </c>
    </row>
    <row r="1671" spans="6:7" x14ac:dyDescent="0.2">
      <c r="F1671" s="123">
        <v>28077</v>
      </c>
      <c r="G1671" s="123" t="s">
        <v>2706</v>
      </c>
    </row>
    <row r="1672" spans="6:7" x14ac:dyDescent="0.2">
      <c r="F1672" s="123">
        <v>28079</v>
      </c>
      <c r="G1672" s="123" t="s">
        <v>2707</v>
      </c>
    </row>
    <row r="1673" spans="6:7" x14ac:dyDescent="0.2">
      <c r="F1673" s="123">
        <v>28081</v>
      </c>
      <c r="G1673" s="123" t="s">
        <v>2708</v>
      </c>
    </row>
    <row r="1674" spans="6:7" x14ac:dyDescent="0.2">
      <c r="F1674" s="123">
        <v>28082</v>
      </c>
      <c r="G1674" s="123" t="s">
        <v>2709</v>
      </c>
    </row>
    <row r="1675" spans="6:7" x14ac:dyDescent="0.2">
      <c r="F1675" s="123">
        <v>28083</v>
      </c>
      <c r="G1675" s="123" t="s">
        <v>2710</v>
      </c>
    </row>
    <row r="1676" spans="6:7" x14ac:dyDescent="0.2">
      <c r="F1676" s="123">
        <v>28084</v>
      </c>
      <c r="G1676" s="123" t="s">
        <v>2711</v>
      </c>
    </row>
    <row r="1677" spans="6:7" x14ac:dyDescent="0.2">
      <c r="F1677" s="123">
        <v>28085</v>
      </c>
      <c r="G1677" s="123" t="s">
        <v>2712</v>
      </c>
    </row>
    <row r="1678" spans="6:7" x14ac:dyDescent="0.2">
      <c r="F1678" s="123">
        <v>28087</v>
      </c>
      <c r="G1678" s="123" t="s">
        <v>2713</v>
      </c>
    </row>
    <row r="1679" spans="6:7" x14ac:dyDescent="0.2">
      <c r="F1679" s="123">
        <v>28089</v>
      </c>
      <c r="G1679" s="123" t="s">
        <v>2714</v>
      </c>
    </row>
    <row r="1680" spans="6:7" x14ac:dyDescent="0.2">
      <c r="F1680" s="123">
        <v>28090</v>
      </c>
      <c r="G1680" s="123" t="s">
        <v>2715</v>
      </c>
    </row>
    <row r="1681" spans="6:7" x14ac:dyDescent="0.2">
      <c r="F1681" s="123">
        <v>28091</v>
      </c>
      <c r="G1681" s="123" t="s">
        <v>2716</v>
      </c>
    </row>
    <row r="1682" spans="6:7" x14ac:dyDescent="0.2">
      <c r="F1682" s="123">
        <v>28093</v>
      </c>
      <c r="G1682" s="123" t="s">
        <v>2717</v>
      </c>
    </row>
    <row r="1683" spans="6:7" x14ac:dyDescent="0.2">
      <c r="F1683" s="123">
        <v>28094</v>
      </c>
      <c r="G1683" s="123" t="s">
        <v>2718</v>
      </c>
    </row>
    <row r="1684" spans="6:7" x14ac:dyDescent="0.2">
      <c r="F1684" s="123">
        <v>28095</v>
      </c>
      <c r="G1684" s="123" t="s">
        <v>2719</v>
      </c>
    </row>
    <row r="1685" spans="6:7" x14ac:dyDescent="0.2">
      <c r="F1685" s="123">
        <v>28096</v>
      </c>
      <c r="G1685" s="123" t="s">
        <v>2720</v>
      </c>
    </row>
    <row r="1686" spans="6:7" x14ac:dyDescent="0.2">
      <c r="F1686" s="123">
        <v>28098</v>
      </c>
      <c r="G1686" s="123" t="s">
        <v>2721</v>
      </c>
    </row>
    <row r="1687" spans="6:7" x14ac:dyDescent="0.2">
      <c r="F1687" s="123">
        <v>28100</v>
      </c>
      <c r="G1687" s="123" t="s">
        <v>2722</v>
      </c>
    </row>
    <row r="1688" spans="6:7" x14ac:dyDescent="0.2">
      <c r="F1688" s="123">
        <v>28104</v>
      </c>
      <c r="G1688" s="123" t="s">
        <v>2723</v>
      </c>
    </row>
    <row r="1689" spans="6:7" x14ac:dyDescent="0.2">
      <c r="F1689" s="123">
        <v>28105</v>
      </c>
      <c r="G1689" s="123" t="s">
        <v>2724</v>
      </c>
    </row>
    <row r="1690" spans="6:7" x14ac:dyDescent="0.2">
      <c r="F1690" s="123">
        <v>28106</v>
      </c>
      <c r="G1690" s="123" t="s">
        <v>2725</v>
      </c>
    </row>
    <row r="1691" spans="6:7" x14ac:dyDescent="0.2">
      <c r="F1691" s="123">
        <v>28107</v>
      </c>
      <c r="G1691" s="123" t="s">
        <v>2726</v>
      </c>
    </row>
    <row r="1692" spans="6:7" x14ac:dyDescent="0.2">
      <c r="F1692" s="123">
        <v>28108</v>
      </c>
      <c r="G1692" s="123" t="s">
        <v>2727</v>
      </c>
    </row>
    <row r="1693" spans="6:7" x14ac:dyDescent="0.2">
      <c r="F1693" s="123">
        <v>28110</v>
      </c>
      <c r="G1693" s="123" t="s">
        <v>2728</v>
      </c>
    </row>
    <row r="1694" spans="6:7" x14ac:dyDescent="0.2">
      <c r="F1694" s="123">
        <v>28113</v>
      </c>
      <c r="G1694" s="123" t="s">
        <v>2729</v>
      </c>
    </row>
    <row r="1695" spans="6:7" x14ac:dyDescent="0.2">
      <c r="F1695" s="123">
        <v>28115</v>
      </c>
      <c r="G1695" s="123" t="s">
        <v>2730</v>
      </c>
    </row>
    <row r="1696" spans="6:7" x14ac:dyDescent="0.2">
      <c r="F1696" s="123">
        <v>28116</v>
      </c>
      <c r="G1696" s="123" t="s">
        <v>2731</v>
      </c>
    </row>
    <row r="1697" spans="6:7" x14ac:dyDescent="0.2">
      <c r="F1697" s="123">
        <v>28117</v>
      </c>
      <c r="G1697" s="123" t="s">
        <v>2732</v>
      </c>
    </row>
    <row r="1698" spans="6:7" x14ac:dyDescent="0.2">
      <c r="F1698" s="123">
        <v>28122</v>
      </c>
      <c r="G1698" s="123" t="s">
        <v>2733</v>
      </c>
    </row>
    <row r="1699" spans="6:7" x14ac:dyDescent="0.2">
      <c r="F1699" s="123">
        <v>28123</v>
      </c>
      <c r="G1699" s="123" t="s">
        <v>2734</v>
      </c>
    </row>
    <row r="1700" spans="6:7" x14ac:dyDescent="0.2">
      <c r="F1700" s="123">
        <v>28125</v>
      </c>
      <c r="G1700" s="123" t="s">
        <v>2735</v>
      </c>
    </row>
    <row r="1701" spans="6:7" x14ac:dyDescent="0.2">
      <c r="F1701" s="123">
        <v>28126</v>
      </c>
      <c r="G1701" s="123" t="s">
        <v>2736</v>
      </c>
    </row>
    <row r="1702" spans="6:7" x14ac:dyDescent="0.2">
      <c r="F1702" s="123">
        <v>28127</v>
      </c>
      <c r="G1702" s="123" t="s">
        <v>2737</v>
      </c>
    </row>
    <row r="1703" spans="6:7" x14ac:dyDescent="0.2">
      <c r="F1703" s="123">
        <v>28128</v>
      </c>
      <c r="G1703" s="123" t="s">
        <v>2738</v>
      </c>
    </row>
    <row r="1704" spans="6:7" x14ac:dyDescent="0.2">
      <c r="F1704" s="123">
        <v>28129</v>
      </c>
      <c r="G1704" s="123" t="s">
        <v>2739</v>
      </c>
    </row>
    <row r="1705" spans="6:7" x14ac:dyDescent="0.2">
      <c r="F1705" s="123">
        <v>28134</v>
      </c>
      <c r="G1705" s="123" t="s">
        <v>2740</v>
      </c>
    </row>
    <row r="1706" spans="6:7" x14ac:dyDescent="0.2">
      <c r="F1706" s="123">
        <v>28135</v>
      </c>
      <c r="G1706" s="123" t="s">
        <v>2741</v>
      </c>
    </row>
    <row r="1707" spans="6:7" x14ac:dyDescent="0.2">
      <c r="F1707" s="123">
        <v>28136</v>
      </c>
      <c r="G1707" s="123" t="s">
        <v>2742</v>
      </c>
    </row>
    <row r="1708" spans="6:7" x14ac:dyDescent="0.2">
      <c r="F1708" s="123">
        <v>28138</v>
      </c>
      <c r="G1708" s="123" t="s">
        <v>2743</v>
      </c>
    </row>
    <row r="1709" spans="6:7" x14ac:dyDescent="0.2">
      <c r="F1709" s="123">
        <v>28141</v>
      </c>
      <c r="G1709" s="123" t="s">
        <v>2744</v>
      </c>
    </row>
    <row r="1710" spans="6:7" x14ac:dyDescent="0.2">
      <c r="F1710" s="123">
        <v>28143</v>
      </c>
      <c r="G1710" s="123" t="s">
        <v>2745</v>
      </c>
    </row>
    <row r="1711" spans="6:7" x14ac:dyDescent="0.2">
      <c r="F1711" s="123">
        <v>28144</v>
      </c>
      <c r="G1711" s="123" t="s">
        <v>2746</v>
      </c>
    </row>
    <row r="1712" spans="6:7" x14ac:dyDescent="0.2">
      <c r="F1712" s="123">
        <v>28150</v>
      </c>
      <c r="G1712" s="123" t="s">
        <v>2747</v>
      </c>
    </row>
    <row r="1713" spans="6:7" x14ac:dyDescent="0.2">
      <c r="F1713" s="123">
        <v>28151</v>
      </c>
      <c r="G1713" s="123" t="s">
        <v>2748</v>
      </c>
    </row>
    <row r="1714" spans="6:7" x14ac:dyDescent="0.2">
      <c r="F1714" s="123">
        <v>28154</v>
      </c>
      <c r="G1714" s="123" t="s">
        <v>2749</v>
      </c>
    </row>
    <row r="1715" spans="6:7" x14ac:dyDescent="0.2">
      <c r="F1715" s="123">
        <v>28157</v>
      </c>
      <c r="G1715" s="123" t="s">
        <v>2750</v>
      </c>
    </row>
    <row r="1716" spans="6:7" x14ac:dyDescent="0.2">
      <c r="F1716" s="123">
        <v>28160</v>
      </c>
      <c r="G1716" s="123" t="s">
        <v>2751</v>
      </c>
    </row>
    <row r="1717" spans="6:7" x14ac:dyDescent="0.2">
      <c r="F1717" s="123">
        <v>28161</v>
      </c>
      <c r="G1717" s="123" t="s">
        <v>2752</v>
      </c>
    </row>
    <row r="1718" spans="6:7" x14ac:dyDescent="0.2">
      <c r="F1718" s="123">
        <v>28165</v>
      </c>
      <c r="G1718" s="123" t="s">
        <v>2753</v>
      </c>
    </row>
    <row r="1719" spans="6:7" x14ac:dyDescent="0.2">
      <c r="F1719" s="123">
        <v>28170</v>
      </c>
      <c r="G1719" s="123" t="s">
        <v>2754</v>
      </c>
    </row>
    <row r="1720" spans="6:7" x14ac:dyDescent="0.2">
      <c r="F1720" s="123">
        <v>28171</v>
      </c>
      <c r="G1720" s="123" t="s">
        <v>2755</v>
      </c>
    </row>
    <row r="1721" spans="6:7" x14ac:dyDescent="0.2">
      <c r="F1721" s="123">
        <v>28172</v>
      </c>
      <c r="G1721" s="123" t="s">
        <v>2756</v>
      </c>
    </row>
    <row r="1722" spans="6:7" x14ac:dyDescent="0.2">
      <c r="F1722" s="123">
        <v>28179</v>
      </c>
      <c r="G1722" s="123" t="s">
        <v>2757</v>
      </c>
    </row>
    <row r="1723" spans="6:7" x14ac:dyDescent="0.2">
      <c r="F1723" s="123">
        <v>28181</v>
      </c>
      <c r="G1723" s="123" t="s">
        <v>2758</v>
      </c>
    </row>
    <row r="1724" spans="6:7" x14ac:dyDescent="0.2">
      <c r="F1724" s="123">
        <v>28182</v>
      </c>
      <c r="G1724" s="123" t="s">
        <v>2759</v>
      </c>
    </row>
    <row r="1725" spans="6:7" x14ac:dyDescent="0.2">
      <c r="F1725" s="123">
        <v>28183</v>
      </c>
      <c r="G1725" s="123" t="s">
        <v>2760</v>
      </c>
    </row>
    <row r="1726" spans="6:7" x14ac:dyDescent="0.2">
      <c r="F1726" s="123">
        <v>28184</v>
      </c>
      <c r="G1726" s="123" t="s">
        <v>2761</v>
      </c>
    </row>
    <row r="1727" spans="6:7" x14ac:dyDescent="0.2">
      <c r="F1727" s="123">
        <v>28186</v>
      </c>
      <c r="G1727" s="123" t="s">
        <v>2762</v>
      </c>
    </row>
    <row r="1728" spans="6:7" x14ac:dyDescent="0.2">
      <c r="F1728" s="123">
        <v>28187</v>
      </c>
      <c r="G1728" s="123" t="s">
        <v>2763</v>
      </c>
    </row>
    <row r="1729" spans="6:7" x14ac:dyDescent="0.2">
      <c r="F1729" s="123">
        <v>28188</v>
      </c>
      <c r="G1729" s="123" t="s">
        <v>2764</v>
      </c>
    </row>
    <row r="1730" spans="6:7" x14ac:dyDescent="0.2">
      <c r="F1730" s="123">
        <v>28190</v>
      </c>
      <c r="G1730" s="123" t="s">
        <v>2765</v>
      </c>
    </row>
    <row r="1731" spans="6:7" x14ac:dyDescent="0.2">
      <c r="F1731" s="123">
        <v>28199</v>
      </c>
      <c r="G1731" s="123" t="s">
        <v>2766</v>
      </c>
    </row>
    <row r="1732" spans="6:7" x14ac:dyDescent="0.2">
      <c r="F1732" s="123">
        <v>28206</v>
      </c>
      <c r="G1732" s="123" t="s">
        <v>2767</v>
      </c>
    </row>
    <row r="1733" spans="6:7" x14ac:dyDescent="0.2">
      <c r="F1733" s="123">
        <v>28207</v>
      </c>
      <c r="G1733" s="123" t="s">
        <v>2768</v>
      </c>
    </row>
    <row r="1734" spans="6:7" x14ac:dyDescent="0.2">
      <c r="F1734" s="123">
        <v>28208</v>
      </c>
      <c r="G1734" s="123" t="s">
        <v>2769</v>
      </c>
    </row>
    <row r="1735" spans="6:7" x14ac:dyDescent="0.2">
      <c r="F1735" s="123">
        <v>28209</v>
      </c>
      <c r="G1735" s="123" t="s">
        <v>2770</v>
      </c>
    </row>
    <row r="1736" spans="6:7" x14ac:dyDescent="0.2">
      <c r="F1736" s="123">
        <v>28211</v>
      </c>
      <c r="G1736" s="123" t="s">
        <v>2771</v>
      </c>
    </row>
    <row r="1737" spans="6:7" x14ac:dyDescent="0.2">
      <c r="F1737" s="123">
        <v>28212</v>
      </c>
      <c r="G1737" s="123" t="s">
        <v>2772</v>
      </c>
    </row>
    <row r="1738" spans="6:7" x14ac:dyDescent="0.2">
      <c r="F1738" s="123">
        <v>28215</v>
      </c>
      <c r="G1738" s="123" t="s">
        <v>2773</v>
      </c>
    </row>
    <row r="1739" spans="6:7" x14ac:dyDescent="0.2">
      <c r="F1739" s="123">
        <v>28223</v>
      </c>
      <c r="G1739" s="123" t="s">
        <v>2774</v>
      </c>
    </row>
    <row r="1740" spans="6:7" x14ac:dyDescent="0.2">
      <c r="F1740" s="123">
        <v>28229</v>
      </c>
      <c r="G1740" s="123" t="s">
        <v>2775</v>
      </c>
    </row>
    <row r="1741" spans="6:7" x14ac:dyDescent="0.2">
      <c r="F1741" s="123">
        <v>28230</v>
      </c>
      <c r="G1741" s="123" t="s">
        <v>2776</v>
      </c>
    </row>
    <row r="1742" spans="6:7" x14ac:dyDescent="0.2">
      <c r="F1742" s="123">
        <v>28246</v>
      </c>
      <c r="G1742" s="123" t="s">
        <v>2777</v>
      </c>
    </row>
    <row r="1743" spans="6:7" x14ac:dyDescent="0.2">
      <c r="F1743" s="123">
        <v>28272</v>
      </c>
      <c r="G1743" s="123" t="s">
        <v>2778</v>
      </c>
    </row>
    <row r="1744" spans="6:7" x14ac:dyDescent="0.2">
      <c r="F1744" s="123">
        <v>28273</v>
      </c>
      <c r="G1744" s="123" t="s">
        <v>2779</v>
      </c>
    </row>
    <row r="1745" spans="6:7" x14ac:dyDescent="0.2">
      <c r="F1745" s="123">
        <v>28283</v>
      </c>
      <c r="G1745" s="123" t="s">
        <v>2780</v>
      </c>
    </row>
    <row r="1746" spans="6:7" x14ac:dyDescent="0.2">
      <c r="F1746" s="123">
        <v>28289</v>
      </c>
      <c r="G1746" s="123" t="s">
        <v>2781</v>
      </c>
    </row>
    <row r="1747" spans="6:7" x14ac:dyDescent="0.2">
      <c r="F1747" s="123">
        <v>28294</v>
      </c>
      <c r="G1747" s="123" t="s">
        <v>2782</v>
      </c>
    </row>
    <row r="1748" spans="6:7" x14ac:dyDescent="0.2">
      <c r="F1748" s="123">
        <v>28295</v>
      </c>
      <c r="G1748" s="123" t="s">
        <v>2783</v>
      </c>
    </row>
    <row r="1749" spans="6:7" x14ac:dyDescent="0.2">
      <c r="F1749" s="123">
        <v>28306</v>
      </c>
      <c r="G1749" s="123" t="s">
        <v>2784</v>
      </c>
    </row>
    <row r="1750" spans="6:7" x14ac:dyDescent="0.2">
      <c r="F1750" s="123">
        <v>28307</v>
      </c>
      <c r="G1750" s="123" t="s">
        <v>2785</v>
      </c>
    </row>
    <row r="1751" spans="6:7" x14ac:dyDescent="0.2">
      <c r="F1751" s="123">
        <v>28308</v>
      </c>
      <c r="G1751" s="123" t="s">
        <v>2786</v>
      </c>
    </row>
    <row r="1752" spans="6:7" x14ac:dyDescent="0.2">
      <c r="F1752" s="123">
        <v>28309</v>
      </c>
      <c r="G1752" s="123" t="s">
        <v>2787</v>
      </c>
    </row>
    <row r="1753" spans="6:7" x14ac:dyDescent="0.2">
      <c r="F1753" s="123">
        <v>28310</v>
      </c>
      <c r="G1753" s="123" t="s">
        <v>2788</v>
      </c>
    </row>
    <row r="1754" spans="6:7" x14ac:dyDescent="0.2">
      <c r="F1754" s="123">
        <v>28315</v>
      </c>
      <c r="G1754" s="123" t="s">
        <v>2789</v>
      </c>
    </row>
    <row r="1755" spans="6:7" x14ac:dyDescent="0.2">
      <c r="F1755" s="123">
        <v>28316</v>
      </c>
      <c r="G1755" s="123" t="s">
        <v>2790</v>
      </c>
    </row>
    <row r="1756" spans="6:7" x14ac:dyDescent="0.2">
      <c r="F1756" s="123">
        <v>28317</v>
      </c>
      <c r="G1756" s="123" t="s">
        <v>2791</v>
      </c>
    </row>
    <row r="1757" spans="6:7" x14ac:dyDescent="0.2">
      <c r="F1757" s="123">
        <v>28318</v>
      </c>
      <c r="G1757" s="123" t="s">
        <v>2792</v>
      </c>
    </row>
    <row r="1758" spans="6:7" x14ac:dyDescent="0.2">
      <c r="F1758" s="123">
        <v>28319</v>
      </c>
      <c r="G1758" s="123" t="s">
        <v>2793</v>
      </c>
    </row>
    <row r="1759" spans="6:7" x14ac:dyDescent="0.2">
      <c r="F1759" s="123">
        <v>28320</v>
      </c>
      <c r="G1759" s="123" t="s">
        <v>2794</v>
      </c>
    </row>
    <row r="1760" spans="6:7" x14ac:dyDescent="0.2">
      <c r="F1760" s="123">
        <v>28323</v>
      </c>
      <c r="G1760" s="123" t="s">
        <v>2795</v>
      </c>
    </row>
    <row r="1761" spans="6:7" x14ac:dyDescent="0.2">
      <c r="F1761" s="123">
        <v>28324</v>
      </c>
      <c r="G1761" s="123" t="s">
        <v>2796</v>
      </c>
    </row>
    <row r="1762" spans="6:7" x14ac:dyDescent="0.2">
      <c r="F1762" s="123">
        <v>28326</v>
      </c>
      <c r="G1762" s="123" t="s">
        <v>2797</v>
      </c>
    </row>
    <row r="1763" spans="6:7" x14ac:dyDescent="0.2">
      <c r="F1763" s="123">
        <v>28327</v>
      </c>
      <c r="G1763" s="123" t="s">
        <v>2798</v>
      </c>
    </row>
    <row r="1764" spans="6:7" x14ac:dyDescent="0.2">
      <c r="F1764" s="123">
        <v>28332</v>
      </c>
      <c r="G1764" s="123" t="s">
        <v>2799</v>
      </c>
    </row>
    <row r="1765" spans="6:7" x14ac:dyDescent="0.2">
      <c r="F1765" s="123">
        <v>28333</v>
      </c>
      <c r="G1765" s="123" t="s">
        <v>2800</v>
      </c>
    </row>
    <row r="1766" spans="6:7" x14ac:dyDescent="0.2">
      <c r="F1766" s="123">
        <v>28335</v>
      </c>
      <c r="G1766" s="123" t="s">
        <v>2801</v>
      </c>
    </row>
    <row r="1767" spans="6:7" x14ac:dyDescent="0.2">
      <c r="F1767" s="123">
        <v>28339</v>
      </c>
      <c r="G1767" s="123" t="s">
        <v>2802</v>
      </c>
    </row>
    <row r="1768" spans="6:7" x14ac:dyDescent="0.2">
      <c r="F1768" s="123">
        <v>28340</v>
      </c>
      <c r="G1768" s="123" t="s">
        <v>2803</v>
      </c>
    </row>
    <row r="1769" spans="6:7" x14ac:dyDescent="0.2">
      <c r="F1769" s="123">
        <v>28341</v>
      </c>
      <c r="G1769" s="123" t="s">
        <v>2804</v>
      </c>
    </row>
    <row r="1770" spans="6:7" x14ac:dyDescent="0.2">
      <c r="F1770" s="123">
        <v>28342</v>
      </c>
      <c r="G1770" s="123" t="s">
        <v>2805</v>
      </c>
    </row>
    <row r="1771" spans="6:7" x14ac:dyDescent="0.2">
      <c r="F1771" s="123">
        <v>28343</v>
      </c>
      <c r="G1771" s="123" t="s">
        <v>2806</v>
      </c>
    </row>
    <row r="1772" spans="6:7" x14ac:dyDescent="0.2">
      <c r="F1772" s="123">
        <v>28345</v>
      </c>
      <c r="G1772" s="123" t="s">
        <v>2807</v>
      </c>
    </row>
    <row r="1773" spans="6:7" x14ac:dyDescent="0.2">
      <c r="F1773" s="123">
        <v>28346</v>
      </c>
      <c r="G1773" s="123" t="s">
        <v>2808</v>
      </c>
    </row>
    <row r="1774" spans="6:7" x14ac:dyDescent="0.2">
      <c r="F1774" s="123">
        <v>28349</v>
      </c>
      <c r="G1774" s="123" t="s">
        <v>2809</v>
      </c>
    </row>
    <row r="1775" spans="6:7" x14ac:dyDescent="0.2">
      <c r="F1775" s="123">
        <v>28351</v>
      </c>
      <c r="G1775" s="123" t="s">
        <v>2810</v>
      </c>
    </row>
    <row r="1776" spans="6:7" x14ac:dyDescent="0.2">
      <c r="F1776" s="123">
        <v>28355</v>
      </c>
      <c r="G1776" s="123" t="s">
        <v>2811</v>
      </c>
    </row>
    <row r="1777" spans="6:7" x14ac:dyDescent="0.2">
      <c r="F1777" s="123">
        <v>28358</v>
      </c>
      <c r="G1777" s="123" t="s">
        <v>2812</v>
      </c>
    </row>
    <row r="1778" spans="6:7" x14ac:dyDescent="0.2">
      <c r="F1778" s="123">
        <v>28359</v>
      </c>
      <c r="G1778" s="123" t="s">
        <v>2813</v>
      </c>
    </row>
    <row r="1779" spans="6:7" x14ac:dyDescent="0.2">
      <c r="F1779" s="123">
        <v>28360</v>
      </c>
      <c r="G1779" s="123" t="s">
        <v>2814</v>
      </c>
    </row>
    <row r="1780" spans="6:7" x14ac:dyDescent="0.2">
      <c r="F1780" s="123">
        <v>28362</v>
      </c>
      <c r="G1780" s="123" t="s">
        <v>2815</v>
      </c>
    </row>
    <row r="1781" spans="6:7" x14ac:dyDescent="0.2">
      <c r="F1781" s="123">
        <v>28364</v>
      </c>
      <c r="G1781" s="123" t="s">
        <v>2816</v>
      </c>
    </row>
    <row r="1782" spans="6:7" x14ac:dyDescent="0.2">
      <c r="F1782" s="123">
        <v>28365</v>
      </c>
      <c r="G1782" s="123" t="s">
        <v>2817</v>
      </c>
    </row>
    <row r="1783" spans="6:7" x14ac:dyDescent="0.2">
      <c r="F1783" s="123">
        <v>28366</v>
      </c>
      <c r="G1783" s="123" t="s">
        <v>2818</v>
      </c>
    </row>
    <row r="1784" spans="6:7" x14ac:dyDescent="0.2">
      <c r="F1784" s="123">
        <v>28367</v>
      </c>
      <c r="G1784" s="123" t="s">
        <v>2819</v>
      </c>
    </row>
    <row r="1785" spans="6:7" x14ac:dyDescent="0.2">
      <c r="F1785" s="123">
        <v>28371</v>
      </c>
      <c r="G1785" s="123" t="s">
        <v>2820</v>
      </c>
    </row>
    <row r="1786" spans="6:7" x14ac:dyDescent="0.2">
      <c r="F1786" s="123">
        <v>28375</v>
      </c>
      <c r="G1786" s="123" t="s">
        <v>2821</v>
      </c>
    </row>
    <row r="1787" spans="6:7" x14ac:dyDescent="0.2">
      <c r="F1787" s="123">
        <v>28376</v>
      </c>
      <c r="G1787" s="123" t="s">
        <v>2822</v>
      </c>
    </row>
    <row r="1788" spans="6:7" x14ac:dyDescent="0.2">
      <c r="F1788" s="123">
        <v>28377</v>
      </c>
      <c r="G1788" s="123" t="s">
        <v>2823</v>
      </c>
    </row>
    <row r="1789" spans="6:7" x14ac:dyDescent="0.2">
      <c r="F1789" s="123">
        <v>28379</v>
      </c>
      <c r="G1789" s="123" t="s">
        <v>2824</v>
      </c>
    </row>
    <row r="1790" spans="6:7" x14ac:dyDescent="0.2">
      <c r="F1790" s="123">
        <v>28383</v>
      </c>
      <c r="G1790" s="123" t="s">
        <v>2825</v>
      </c>
    </row>
    <row r="1791" spans="6:7" x14ac:dyDescent="0.2">
      <c r="F1791" s="123">
        <v>28388</v>
      </c>
      <c r="G1791" s="123" t="s">
        <v>2826</v>
      </c>
    </row>
    <row r="1792" spans="6:7" x14ac:dyDescent="0.2">
      <c r="F1792" s="123">
        <v>28390</v>
      </c>
      <c r="G1792" s="123" t="s">
        <v>2827</v>
      </c>
    </row>
    <row r="1793" spans="6:7" x14ac:dyDescent="0.2">
      <c r="F1793" s="123">
        <v>28393</v>
      </c>
      <c r="G1793" s="123" t="s">
        <v>2828</v>
      </c>
    </row>
    <row r="1794" spans="6:7" x14ac:dyDescent="0.2">
      <c r="F1794" s="123">
        <v>28397</v>
      </c>
      <c r="G1794" s="123" t="s">
        <v>2829</v>
      </c>
    </row>
    <row r="1795" spans="6:7" x14ac:dyDescent="0.2">
      <c r="F1795" s="123">
        <v>28419</v>
      </c>
      <c r="G1795" s="123" t="s">
        <v>2830</v>
      </c>
    </row>
    <row r="1796" spans="6:7" x14ac:dyDescent="0.2">
      <c r="F1796" s="123">
        <v>28424</v>
      </c>
      <c r="G1796" s="123" t="s">
        <v>2831</v>
      </c>
    </row>
    <row r="1797" spans="6:7" x14ac:dyDescent="0.2">
      <c r="F1797" s="123">
        <v>28425</v>
      </c>
      <c r="G1797" s="123" t="s">
        <v>2832</v>
      </c>
    </row>
    <row r="1798" spans="6:7" x14ac:dyDescent="0.2">
      <c r="F1798" s="123">
        <v>28427</v>
      </c>
      <c r="G1798" s="123" t="s">
        <v>2833</v>
      </c>
    </row>
    <row r="1799" spans="6:7" x14ac:dyDescent="0.2">
      <c r="F1799" s="123">
        <v>28429</v>
      </c>
      <c r="G1799" s="123" t="s">
        <v>2834</v>
      </c>
    </row>
    <row r="1800" spans="6:7" x14ac:dyDescent="0.2">
      <c r="F1800" s="123">
        <v>28433</v>
      </c>
      <c r="G1800" s="123" t="s">
        <v>2835</v>
      </c>
    </row>
    <row r="1801" spans="6:7" x14ac:dyDescent="0.2">
      <c r="F1801" s="123">
        <v>28441</v>
      </c>
      <c r="G1801" s="123" t="s">
        <v>2836</v>
      </c>
    </row>
    <row r="1802" spans="6:7" x14ac:dyDescent="0.2">
      <c r="F1802" s="123">
        <v>28442</v>
      </c>
      <c r="G1802" s="123" t="s">
        <v>2837</v>
      </c>
    </row>
    <row r="1803" spans="6:7" x14ac:dyDescent="0.2">
      <c r="F1803" s="123">
        <v>28443</v>
      </c>
      <c r="G1803" s="123" t="s">
        <v>2838</v>
      </c>
    </row>
    <row r="1804" spans="6:7" x14ac:dyDescent="0.2">
      <c r="F1804" s="123">
        <v>28452</v>
      </c>
      <c r="G1804" s="123" t="s">
        <v>2839</v>
      </c>
    </row>
    <row r="1805" spans="6:7" x14ac:dyDescent="0.2">
      <c r="F1805" s="123">
        <v>28453</v>
      </c>
      <c r="G1805" s="123" t="s">
        <v>2840</v>
      </c>
    </row>
    <row r="1806" spans="6:7" x14ac:dyDescent="0.2">
      <c r="F1806" s="123">
        <v>28459</v>
      </c>
      <c r="G1806" s="123" t="s">
        <v>2841</v>
      </c>
    </row>
    <row r="1807" spans="6:7" x14ac:dyDescent="0.2">
      <c r="F1807" s="123">
        <v>28463</v>
      </c>
      <c r="G1807" s="123" t="s">
        <v>2842</v>
      </c>
    </row>
    <row r="1808" spans="6:7" x14ac:dyDescent="0.2">
      <c r="F1808" s="123">
        <v>28467</v>
      </c>
      <c r="G1808" s="123" t="s">
        <v>2843</v>
      </c>
    </row>
    <row r="1809" spans="6:7" x14ac:dyDescent="0.2">
      <c r="F1809" s="123">
        <v>28472</v>
      </c>
      <c r="G1809" s="123" t="s">
        <v>2844</v>
      </c>
    </row>
    <row r="1810" spans="6:7" x14ac:dyDescent="0.2">
      <c r="F1810" s="123">
        <v>28479</v>
      </c>
      <c r="G1810" s="123" t="s">
        <v>2845</v>
      </c>
    </row>
    <row r="1811" spans="6:7" x14ac:dyDescent="0.2">
      <c r="F1811" s="123">
        <v>28488</v>
      </c>
      <c r="G1811" s="123" t="s">
        <v>2846</v>
      </c>
    </row>
    <row r="1812" spans="6:7" x14ac:dyDescent="0.2">
      <c r="F1812" s="123">
        <v>28489</v>
      </c>
      <c r="G1812" s="123" t="s">
        <v>2847</v>
      </c>
    </row>
    <row r="1813" spans="6:7" x14ac:dyDescent="0.2">
      <c r="F1813" s="123">
        <v>28499</v>
      </c>
      <c r="G1813" s="123" t="s">
        <v>2848</v>
      </c>
    </row>
    <row r="1814" spans="6:7" x14ac:dyDescent="0.2">
      <c r="F1814" s="123">
        <v>28505</v>
      </c>
      <c r="G1814" s="123" t="s">
        <v>2849</v>
      </c>
    </row>
    <row r="1815" spans="6:7" x14ac:dyDescent="0.2">
      <c r="F1815" s="123">
        <v>28507</v>
      </c>
      <c r="G1815" s="123" t="s">
        <v>2850</v>
      </c>
    </row>
    <row r="1816" spans="6:7" x14ac:dyDescent="0.2">
      <c r="F1816" s="123">
        <v>28520</v>
      </c>
      <c r="G1816" s="123" t="s">
        <v>2851</v>
      </c>
    </row>
    <row r="1817" spans="6:7" x14ac:dyDescent="0.2">
      <c r="F1817" s="123">
        <v>28522</v>
      </c>
      <c r="G1817" s="123" t="s">
        <v>2852</v>
      </c>
    </row>
    <row r="1818" spans="6:7" x14ac:dyDescent="0.2">
      <c r="F1818" s="123">
        <v>28528</v>
      </c>
      <c r="G1818" s="123" t="s">
        <v>2853</v>
      </c>
    </row>
    <row r="1819" spans="6:7" x14ac:dyDescent="0.2">
      <c r="F1819" s="123">
        <v>28529</v>
      </c>
      <c r="G1819" s="123" t="s">
        <v>2854</v>
      </c>
    </row>
    <row r="1820" spans="6:7" x14ac:dyDescent="0.2">
      <c r="F1820" s="123">
        <v>28537</v>
      </c>
      <c r="G1820" s="123" t="s">
        <v>2855</v>
      </c>
    </row>
    <row r="1821" spans="6:7" x14ac:dyDescent="0.2">
      <c r="F1821" s="123">
        <v>28546</v>
      </c>
      <c r="G1821" s="123" t="s">
        <v>2856</v>
      </c>
    </row>
    <row r="1822" spans="6:7" x14ac:dyDescent="0.2">
      <c r="F1822" s="123">
        <v>28549</v>
      </c>
      <c r="G1822" s="123" t="s">
        <v>2857</v>
      </c>
    </row>
    <row r="1823" spans="6:7" x14ac:dyDescent="0.2">
      <c r="F1823" s="123">
        <v>28550</v>
      </c>
      <c r="G1823" s="123" t="s">
        <v>2858</v>
      </c>
    </row>
    <row r="1824" spans="6:7" x14ac:dyDescent="0.2">
      <c r="F1824" s="123">
        <v>28551</v>
      </c>
      <c r="G1824" s="123" t="s">
        <v>2859</v>
      </c>
    </row>
    <row r="1825" spans="6:7" x14ac:dyDescent="0.2">
      <c r="F1825" s="123">
        <v>28555</v>
      </c>
      <c r="G1825" s="123" t="s">
        <v>2860</v>
      </c>
    </row>
    <row r="1826" spans="6:7" x14ac:dyDescent="0.2">
      <c r="F1826" s="123">
        <v>28556</v>
      </c>
      <c r="G1826" s="123" t="s">
        <v>2861</v>
      </c>
    </row>
    <row r="1827" spans="6:7" x14ac:dyDescent="0.2">
      <c r="F1827" s="123">
        <v>28557</v>
      </c>
      <c r="G1827" s="123" t="s">
        <v>2862</v>
      </c>
    </row>
    <row r="1828" spans="6:7" x14ac:dyDescent="0.2">
      <c r="F1828" s="123">
        <v>28558</v>
      </c>
      <c r="G1828" s="123" t="s">
        <v>2863</v>
      </c>
    </row>
    <row r="1829" spans="6:7" x14ac:dyDescent="0.2">
      <c r="F1829" s="123">
        <v>28564</v>
      </c>
      <c r="G1829" s="123" t="s">
        <v>2864</v>
      </c>
    </row>
    <row r="1830" spans="6:7" x14ac:dyDescent="0.2">
      <c r="F1830" s="123">
        <v>28569</v>
      </c>
      <c r="G1830" s="123" t="s">
        <v>2865</v>
      </c>
    </row>
    <row r="1831" spans="6:7" x14ac:dyDescent="0.2">
      <c r="F1831" s="123">
        <v>28573</v>
      </c>
      <c r="G1831" s="123" t="s">
        <v>2866</v>
      </c>
    </row>
    <row r="1832" spans="6:7" x14ac:dyDescent="0.2">
      <c r="F1832" s="123">
        <v>28584</v>
      </c>
      <c r="G1832" s="123" t="s">
        <v>2867</v>
      </c>
    </row>
    <row r="1833" spans="6:7" x14ac:dyDescent="0.2">
      <c r="F1833" s="123">
        <v>28587</v>
      </c>
      <c r="G1833" s="123" t="s">
        <v>2868</v>
      </c>
    </row>
    <row r="1834" spans="6:7" x14ac:dyDescent="0.2">
      <c r="F1834" s="123">
        <v>28593</v>
      </c>
      <c r="G1834" s="123" t="s">
        <v>2869</v>
      </c>
    </row>
    <row r="1835" spans="6:7" x14ac:dyDescent="0.2">
      <c r="F1835" s="123">
        <v>28609</v>
      </c>
      <c r="G1835" s="123" t="s">
        <v>2870</v>
      </c>
    </row>
    <row r="1836" spans="6:7" x14ac:dyDescent="0.2">
      <c r="F1836" s="123">
        <v>28610</v>
      </c>
      <c r="G1836" s="123" t="s">
        <v>2871</v>
      </c>
    </row>
    <row r="1837" spans="6:7" x14ac:dyDescent="0.2">
      <c r="F1837" s="123">
        <v>28612</v>
      </c>
      <c r="G1837" s="123" t="s">
        <v>2872</v>
      </c>
    </row>
    <row r="1838" spans="6:7" x14ac:dyDescent="0.2">
      <c r="F1838" s="123">
        <v>28615</v>
      </c>
      <c r="G1838" s="123" t="s">
        <v>2873</v>
      </c>
    </row>
    <row r="1839" spans="6:7" x14ac:dyDescent="0.2">
      <c r="F1839" s="123">
        <v>28616</v>
      </c>
      <c r="G1839" s="123" t="s">
        <v>2874</v>
      </c>
    </row>
    <row r="1840" spans="6:7" x14ac:dyDescent="0.2">
      <c r="F1840" s="123">
        <v>28618</v>
      </c>
      <c r="G1840" s="123" t="s">
        <v>2875</v>
      </c>
    </row>
    <row r="1841" spans="6:7" x14ac:dyDescent="0.2">
      <c r="F1841" s="123">
        <v>28622</v>
      </c>
      <c r="G1841" s="123" t="s">
        <v>2876</v>
      </c>
    </row>
    <row r="1842" spans="6:7" x14ac:dyDescent="0.2">
      <c r="F1842" s="123">
        <v>28623</v>
      </c>
      <c r="G1842" s="123" t="s">
        <v>2877</v>
      </c>
    </row>
    <row r="1843" spans="6:7" x14ac:dyDescent="0.2">
      <c r="F1843" s="123">
        <v>28624</v>
      </c>
      <c r="G1843" s="123" t="s">
        <v>2878</v>
      </c>
    </row>
    <row r="1844" spans="6:7" x14ac:dyDescent="0.2">
      <c r="F1844" s="123">
        <v>28629</v>
      </c>
      <c r="G1844" s="123" t="s">
        <v>2879</v>
      </c>
    </row>
    <row r="1845" spans="6:7" x14ac:dyDescent="0.2">
      <c r="F1845" s="123">
        <v>28631</v>
      </c>
      <c r="G1845" s="123" t="s">
        <v>2880</v>
      </c>
    </row>
    <row r="1846" spans="6:7" x14ac:dyDescent="0.2">
      <c r="F1846" s="123">
        <v>28636</v>
      </c>
      <c r="G1846" s="123" t="s">
        <v>2881</v>
      </c>
    </row>
    <row r="1847" spans="6:7" x14ac:dyDescent="0.2">
      <c r="F1847" s="123">
        <v>28646</v>
      </c>
      <c r="G1847" s="123" t="s">
        <v>2882</v>
      </c>
    </row>
    <row r="1848" spans="6:7" x14ac:dyDescent="0.2">
      <c r="F1848" s="123">
        <v>28658</v>
      </c>
      <c r="G1848" s="123" t="s">
        <v>2883</v>
      </c>
    </row>
    <row r="1849" spans="6:7" x14ac:dyDescent="0.2">
      <c r="F1849" s="123">
        <v>28659</v>
      </c>
      <c r="G1849" s="123" t="s">
        <v>2884</v>
      </c>
    </row>
    <row r="1850" spans="6:7" x14ac:dyDescent="0.2">
      <c r="F1850" s="123">
        <v>28663</v>
      </c>
      <c r="G1850" s="123" t="s">
        <v>2885</v>
      </c>
    </row>
    <row r="1851" spans="6:7" x14ac:dyDescent="0.2">
      <c r="F1851" s="123">
        <v>28664</v>
      </c>
      <c r="G1851" s="123" t="s">
        <v>2886</v>
      </c>
    </row>
    <row r="1852" spans="6:7" x14ac:dyDescent="0.2">
      <c r="F1852" s="123">
        <v>28666</v>
      </c>
      <c r="G1852" s="123" t="s">
        <v>2887</v>
      </c>
    </row>
    <row r="1853" spans="6:7" x14ac:dyDescent="0.2">
      <c r="F1853" s="123">
        <v>28669</v>
      </c>
      <c r="G1853" s="123" t="s">
        <v>2888</v>
      </c>
    </row>
    <row r="1854" spans="6:7" x14ac:dyDescent="0.2">
      <c r="F1854" s="123">
        <v>28670</v>
      </c>
      <c r="G1854" s="123" t="s">
        <v>2889</v>
      </c>
    </row>
    <row r="1855" spans="6:7" x14ac:dyDescent="0.2">
      <c r="F1855" s="123">
        <v>28674</v>
      </c>
      <c r="G1855" s="123" t="s">
        <v>2890</v>
      </c>
    </row>
    <row r="1856" spans="6:7" x14ac:dyDescent="0.2">
      <c r="F1856" s="123">
        <v>28676</v>
      </c>
      <c r="G1856" s="123" t="s">
        <v>2891</v>
      </c>
    </row>
    <row r="1857" spans="6:7" x14ac:dyDescent="0.2">
      <c r="F1857" s="123">
        <v>28686</v>
      </c>
      <c r="G1857" s="123" t="s">
        <v>2892</v>
      </c>
    </row>
    <row r="1858" spans="6:7" x14ac:dyDescent="0.2">
      <c r="F1858" s="123">
        <v>28687</v>
      </c>
      <c r="G1858" s="123" t="s">
        <v>2893</v>
      </c>
    </row>
    <row r="1859" spans="6:7" x14ac:dyDescent="0.2">
      <c r="F1859" s="123">
        <v>28692</v>
      </c>
      <c r="G1859" s="123" t="s">
        <v>2894</v>
      </c>
    </row>
    <row r="1860" spans="6:7" x14ac:dyDescent="0.2">
      <c r="F1860" s="123">
        <v>28700</v>
      </c>
      <c r="G1860" s="123" t="s">
        <v>2895</v>
      </c>
    </row>
    <row r="1861" spans="6:7" x14ac:dyDescent="0.2">
      <c r="F1861" s="123">
        <v>28706</v>
      </c>
      <c r="G1861" s="123" t="s">
        <v>2896</v>
      </c>
    </row>
    <row r="1862" spans="6:7" x14ac:dyDescent="0.2">
      <c r="F1862" s="123">
        <v>28711</v>
      </c>
      <c r="G1862" s="123" t="s">
        <v>2897</v>
      </c>
    </row>
    <row r="1863" spans="6:7" x14ac:dyDescent="0.2">
      <c r="F1863" s="123">
        <v>28716</v>
      </c>
      <c r="G1863" s="123" t="s">
        <v>2898</v>
      </c>
    </row>
    <row r="1864" spans="6:7" x14ac:dyDescent="0.2">
      <c r="F1864" s="123">
        <v>28718</v>
      </c>
      <c r="G1864" s="123" t="s">
        <v>2899</v>
      </c>
    </row>
    <row r="1865" spans="6:7" x14ac:dyDescent="0.2">
      <c r="F1865" s="123">
        <v>28722</v>
      </c>
      <c r="G1865" s="123" t="s">
        <v>2900</v>
      </c>
    </row>
    <row r="1866" spans="6:7" x14ac:dyDescent="0.2">
      <c r="F1866" s="123">
        <v>28725</v>
      </c>
      <c r="G1866" s="123" t="s">
        <v>2901</v>
      </c>
    </row>
    <row r="1867" spans="6:7" x14ac:dyDescent="0.2">
      <c r="F1867" s="123">
        <v>28726</v>
      </c>
      <c r="G1867" s="123" t="s">
        <v>2902</v>
      </c>
    </row>
    <row r="1868" spans="6:7" x14ac:dyDescent="0.2">
      <c r="F1868" s="123">
        <v>28730</v>
      </c>
      <c r="G1868" s="123" t="s">
        <v>2903</v>
      </c>
    </row>
    <row r="1869" spans="6:7" x14ac:dyDescent="0.2">
      <c r="F1869" s="123">
        <v>28732</v>
      </c>
      <c r="G1869" s="123" t="s">
        <v>2904</v>
      </c>
    </row>
    <row r="1870" spans="6:7" x14ac:dyDescent="0.2">
      <c r="F1870" s="123">
        <v>28733</v>
      </c>
      <c r="G1870" s="123" t="s">
        <v>2905</v>
      </c>
    </row>
    <row r="1871" spans="6:7" x14ac:dyDescent="0.2">
      <c r="F1871" s="123">
        <v>28735</v>
      </c>
      <c r="G1871" s="123" t="s">
        <v>2906</v>
      </c>
    </row>
    <row r="1872" spans="6:7" x14ac:dyDescent="0.2">
      <c r="F1872" s="123">
        <v>28737</v>
      </c>
      <c r="G1872" s="123" t="s">
        <v>2907</v>
      </c>
    </row>
    <row r="1873" spans="6:7" x14ac:dyDescent="0.2">
      <c r="F1873" s="123">
        <v>28738</v>
      </c>
      <c r="G1873" s="123" t="s">
        <v>2908</v>
      </c>
    </row>
    <row r="1874" spans="6:7" x14ac:dyDescent="0.2">
      <c r="F1874" s="123">
        <v>28739</v>
      </c>
      <c r="G1874" s="123" t="s">
        <v>2909</v>
      </c>
    </row>
    <row r="1875" spans="6:7" x14ac:dyDescent="0.2">
      <c r="F1875" s="123">
        <v>28740</v>
      </c>
      <c r="G1875" s="123" t="s">
        <v>2910</v>
      </c>
    </row>
    <row r="1876" spans="6:7" x14ac:dyDescent="0.2">
      <c r="F1876" s="123">
        <v>28742</v>
      </c>
      <c r="G1876" s="123" t="s">
        <v>2911</v>
      </c>
    </row>
    <row r="1877" spans="6:7" x14ac:dyDescent="0.2">
      <c r="F1877" s="123">
        <v>28743</v>
      </c>
      <c r="G1877" s="123" t="s">
        <v>2912</v>
      </c>
    </row>
    <row r="1878" spans="6:7" x14ac:dyDescent="0.2">
      <c r="F1878" s="123">
        <v>28746</v>
      </c>
      <c r="G1878" s="123" t="s">
        <v>2913</v>
      </c>
    </row>
    <row r="1879" spans="6:7" x14ac:dyDescent="0.2">
      <c r="F1879" s="123">
        <v>28750</v>
      </c>
      <c r="G1879" s="123" t="s">
        <v>2914</v>
      </c>
    </row>
    <row r="1880" spans="6:7" x14ac:dyDescent="0.2">
      <c r="F1880" s="123">
        <v>28752</v>
      </c>
      <c r="G1880" s="123" t="s">
        <v>2915</v>
      </c>
    </row>
    <row r="1881" spans="6:7" x14ac:dyDescent="0.2">
      <c r="F1881" s="123">
        <v>28753</v>
      </c>
      <c r="G1881" s="123" t="s">
        <v>2916</v>
      </c>
    </row>
    <row r="1882" spans="6:7" x14ac:dyDescent="0.2">
      <c r="F1882" s="123">
        <v>28756</v>
      </c>
      <c r="G1882" s="123" t="s">
        <v>2917</v>
      </c>
    </row>
    <row r="1883" spans="6:7" x14ac:dyDescent="0.2">
      <c r="F1883" s="123">
        <v>28760</v>
      </c>
      <c r="G1883" s="123" t="s">
        <v>2918</v>
      </c>
    </row>
    <row r="1884" spans="6:7" x14ac:dyDescent="0.2">
      <c r="F1884" s="123">
        <v>28761</v>
      </c>
      <c r="G1884" s="123" t="s">
        <v>2919</v>
      </c>
    </row>
    <row r="1885" spans="6:7" x14ac:dyDescent="0.2">
      <c r="F1885" s="123">
        <v>28764</v>
      </c>
      <c r="G1885" s="123" t="s">
        <v>2920</v>
      </c>
    </row>
    <row r="1886" spans="6:7" x14ac:dyDescent="0.2">
      <c r="F1886" s="123">
        <v>28765</v>
      </c>
      <c r="G1886" s="123" t="s">
        <v>2921</v>
      </c>
    </row>
    <row r="1887" spans="6:7" x14ac:dyDescent="0.2">
      <c r="F1887" s="123">
        <v>28770</v>
      </c>
      <c r="G1887" s="123" t="s">
        <v>2922</v>
      </c>
    </row>
    <row r="1888" spans="6:7" x14ac:dyDescent="0.2">
      <c r="F1888" s="123">
        <v>28775</v>
      </c>
      <c r="G1888" s="123" t="s">
        <v>2923</v>
      </c>
    </row>
    <row r="1889" spans="6:7" x14ac:dyDescent="0.2">
      <c r="F1889" s="123">
        <v>28776</v>
      </c>
      <c r="G1889" s="123" t="s">
        <v>2924</v>
      </c>
    </row>
    <row r="1890" spans="6:7" x14ac:dyDescent="0.2">
      <c r="F1890" s="123">
        <v>28777</v>
      </c>
      <c r="G1890" s="123" t="s">
        <v>2925</v>
      </c>
    </row>
    <row r="1891" spans="6:7" x14ac:dyDescent="0.2">
      <c r="F1891" s="123">
        <v>28779</v>
      </c>
      <c r="G1891" s="123" t="s">
        <v>2926</v>
      </c>
    </row>
    <row r="1892" spans="6:7" x14ac:dyDescent="0.2">
      <c r="F1892" s="123">
        <v>28780</v>
      </c>
      <c r="G1892" s="123" t="s">
        <v>2927</v>
      </c>
    </row>
    <row r="1893" spans="6:7" x14ac:dyDescent="0.2">
      <c r="F1893" s="123">
        <v>28785</v>
      </c>
      <c r="G1893" s="123" t="s">
        <v>2928</v>
      </c>
    </row>
    <row r="1894" spans="6:7" x14ac:dyDescent="0.2">
      <c r="F1894" s="123">
        <v>28787</v>
      </c>
      <c r="G1894" s="123" t="s">
        <v>2929</v>
      </c>
    </row>
    <row r="1895" spans="6:7" x14ac:dyDescent="0.2">
      <c r="F1895" s="123">
        <v>28788</v>
      </c>
      <c r="G1895" s="123" t="s">
        <v>2930</v>
      </c>
    </row>
    <row r="1896" spans="6:7" x14ac:dyDescent="0.2">
      <c r="F1896" s="123">
        <v>28789</v>
      </c>
      <c r="G1896" s="123" t="s">
        <v>2931</v>
      </c>
    </row>
    <row r="1897" spans="6:7" x14ac:dyDescent="0.2">
      <c r="F1897" s="123">
        <v>28790</v>
      </c>
      <c r="G1897" s="123" t="s">
        <v>2932</v>
      </c>
    </row>
    <row r="1898" spans="6:7" x14ac:dyDescent="0.2">
      <c r="F1898" s="123">
        <v>28791</v>
      </c>
      <c r="G1898" s="123" t="s">
        <v>2933</v>
      </c>
    </row>
    <row r="1899" spans="6:7" x14ac:dyDescent="0.2">
      <c r="F1899" s="123">
        <v>28792</v>
      </c>
      <c r="G1899" s="123" t="s">
        <v>2934</v>
      </c>
    </row>
    <row r="1900" spans="6:7" x14ac:dyDescent="0.2">
      <c r="F1900" s="123">
        <v>28793</v>
      </c>
      <c r="G1900" s="123" t="s">
        <v>2935</v>
      </c>
    </row>
    <row r="1901" spans="6:7" x14ac:dyDescent="0.2">
      <c r="F1901" s="123">
        <v>28795</v>
      </c>
      <c r="G1901" s="123" t="s">
        <v>2936</v>
      </c>
    </row>
    <row r="1902" spans="6:7" x14ac:dyDescent="0.2">
      <c r="F1902" s="123">
        <v>28799</v>
      </c>
      <c r="G1902" s="123" t="s">
        <v>2937</v>
      </c>
    </row>
    <row r="1903" spans="6:7" x14ac:dyDescent="0.2">
      <c r="F1903" s="123">
        <v>28801</v>
      </c>
      <c r="G1903" s="123" t="s">
        <v>2938</v>
      </c>
    </row>
    <row r="1904" spans="6:7" x14ac:dyDescent="0.2">
      <c r="F1904" s="123">
        <v>28805</v>
      </c>
      <c r="G1904" s="123" t="s">
        <v>2939</v>
      </c>
    </row>
    <row r="1905" spans="6:7" x14ac:dyDescent="0.2">
      <c r="F1905" s="123">
        <v>28807</v>
      </c>
      <c r="G1905" s="123" t="s">
        <v>2940</v>
      </c>
    </row>
    <row r="1906" spans="6:7" x14ac:dyDescent="0.2">
      <c r="F1906" s="123">
        <v>28809</v>
      </c>
      <c r="G1906" s="123" t="s">
        <v>2941</v>
      </c>
    </row>
    <row r="1907" spans="6:7" x14ac:dyDescent="0.2">
      <c r="F1907" s="123">
        <v>28811</v>
      </c>
      <c r="G1907" s="123" t="s">
        <v>2942</v>
      </c>
    </row>
    <row r="1908" spans="6:7" x14ac:dyDescent="0.2">
      <c r="F1908" s="123">
        <v>28812</v>
      </c>
      <c r="G1908" s="123" t="s">
        <v>2943</v>
      </c>
    </row>
    <row r="1909" spans="6:7" x14ac:dyDescent="0.2">
      <c r="F1909" s="123">
        <v>28813</v>
      </c>
      <c r="G1909" s="123" t="s">
        <v>2944</v>
      </c>
    </row>
    <row r="1910" spans="6:7" x14ac:dyDescent="0.2">
      <c r="F1910" s="123">
        <v>28823</v>
      </c>
      <c r="G1910" s="123" t="s">
        <v>2945</v>
      </c>
    </row>
    <row r="1911" spans="6:7" x14ac:dyDescent="0.2">
      <c r="F1911" s="123">
        <v>28826</v>
      </c>
      <c r="G1911" s="123" t="s">
        <v>2946</v>
      </c>
    </row>
    <row r="1912" spans="6:7" x14ac:dyDescent="0.2">
      <c r="F1912" s="123">
        <v>28827</v>
      </c>
      <c r="G1912" s="123" t="s">
        <v>2947</v>
      </c>
    </row>
    <row r="1913" spans="6:7" x14ac:dyDescent="0.2">
      <c r="F1913" s="123">
        <v>28828</v>
      </c>
      <c r="G1913" s="123" t="s">
        <v>2948</v>
      </c>
    </row>
    <row r="1914" spans="6:7" x14ac:dyDescent="0.2">
      <c r="F1914" s="123">
        <v>28831</v>
      </c>
      <c r="G1914" s="123" t="s">
        <v>2949</v>
      </c>
    </row>
    <row r="1915" spans="6:7" x14ac:dyDescent="0.2">
      <c r="F1915" s="123">
        <v>28833</v>
      </c>
      <c r="G1915" s="123" t="s">
        <v>2950</v>
      </c>
    </row>
    <row r="1916" spans="6:7" x14ac:dyDescent="0.2">
      <c r="F1916" s="123">
        <v>28834</v>
      </c>
      <c r="G1916" s="123" t="s">
        <v>2951</v>
      </c>
    </row>
    <row r="1917" spans="6:7" x14ac:dyDescent="0.2">
      <c r="F1917" s="123">
        <v>28839</v>
      </c>
      <c r="G1917" s="123" t="s">
        <v>2952</v>
      </c>
    </row>
    <row r="1918" spans="6:7" x14ac:dyDescent="0.2">
      <c r="F1918" s="123">
        <v>28840</v>
      </c>
      <c r="G1918" s="123" t="s">
        <v>2953</v>
      </c>
    </row>
    <row r="1919" spans="6:7" x14ac:dyDescent="0.2">
      <c r="F1919" s="123">
        <v>28853</v>
      </c>
      <c r="G1919" s="123" t="s">
        <v>2954</v>
      </c>
    </row>
    <row r="1920" spans="6:7" x14ac:dyDescent="0.2">
      <c r="F1920" s="123">
        <v>28858</v>
      </c>
      <c r="G1920" s="123" t="s">
        <v>2955</v>
      </c>
    </row>
    <row r="1921" spans="6:7" x14ac:dyDescent="0.2">
      <c r="F1921" s="123">
        <v>28861</v>
      </c>
      <c r="G1921" s="123" t="s">
        <v>2956</v>
      </c>
    </row>
    <row r="1922" spans="6:7" x14ac:dyDescent="0.2">
      <c r="F1922" s="123">
        <v>28869</v>
      </c>
      <c r="G1922" s="123" t="s">
        <v>2957</v>
      </c>
    </row>
    <row r="1923" spans="6:7" x14ac:dyDescent="0.2">
      <c r="F1923" s="123">
        <v>28874</v>
      </c>
      <c r="G1923" s="123" t="s">
        <v>2958</v>
      </c>
    </row>
    <row r="1924" spans="6:7" x14ac:dyDescent="0.2">
      <c r="F1924" s="123">
        <v>28875</v>
      </c>
      <c r="G1924" s="123" t="s">
        <v>2959</v>
      </c>
    </row>
    <row r="1925" spans="6:7" x14ac:dyDescent="0.2">
      <c r="F1925" s="123">
        <v>28877</v>
      </c>
      <c r="G1925" s="123" t="s">
        <v>2960</v>
      </c>
    </row>
    <row r="1926" spans="6:7" x14ac:dyDescent="0.2">
      <c r="F1926" s="123">
        <v>28880</v>
      </c>
      <c r="G1926" s="123" t="s">
        <v>2961</v>
      </c>
    </row>
    <row r="1927" spans="6:7" x14ac:dyDescent="0.2">
      <c r="F1927" s="123">
        <v>28882</v>
      </c>
      <c r="G1927" s="123" t="s">
        <v>2962</v>
      </c>
    </row>
    <row r="1928" spans="6:7" x14ac:dyDescent="0.2">
      <c r="F1928" s="123">
        <v>28887</v>
      </c>
      <c r="G1928" s="123" t="s">
        <v>2963</v>
      </c>
    </row>
    <row r="1929" spans="6:7" x14ac:dyDescent="0.2">
      <c r="F1929" s="123">
        <v>28889</v>
      </c>
      <c r="G1929" s="123" t="s">
        <v>2964</v>
      </c>
    </row>
    <row r="1930" spans="6:7" x14ac:dyDescent="0.2">
      <c r="F1930" s="123">
        <v>28897</v>
      </c>
      <c r="G1930" s="123" t="s">
        <v>2965</v>
      </c>
    </row>
    <row r="1931" spans="6:7" x14ac:dyDescent="0.2">
      <c r="F1931" s="123">
        <v>28912</v>
      </c>
      <c r="G1931" s="123" t="s">
        <v>2966</v>
      </c>
    </row>
    <row r="1932" spans="6:7" x14ac:dyDescent="0.2">
      <c r="F1932" s="123">
        <v>28924</v>
      </c>
      <c r="G1932" s="123" t="s">
        <v>2967</v>
      </c>
    </row>
    <row r="1933" spans="6:7" x14ac:dyDescent="0.2">
      <c r="F1933" s="123">
        <v>28925</v>
      </c>
      <c r="G1933" s="123" t="s">
        <v>2968</v>
      </c>
    </row>
    <row r="1934" spans="6:7" x14ac:dyDescent="0.2">
      <c r="F1934" s="123">
        <v>28932</v>
      </c>
      <c r="G1934" s="123" t="s">
        <v>2969</v>
      </c>
    </row>
    <row r="1935" spans="6:7" x14ac:dyDescent="0.2">
      <c r="F1935" s="123">
        <v>28933</v>
      </c>
      <c r="G1935" s="123" t="s">
        <v>2970</v>
      </c>
    </row>
    <row r="1936" spans="6:7" x14ac:dyDescent="0.2">
      <c r="F1936" s="123">
        <v>28936</v>
      </c>
      <c r="G1936" s="123" t="s">
        <v>2971</v>
      </c>
    </row>
    <row r="1937" spans="6:7" x14ac:dyDescent="0.2">
      <c r="F1937" s="123">
        <v>28944</v>
      </c>
      <c r="G1937" s="123" t="s">
        <v>2972</v>
      </c>
    </row>
    <row r="1938" spans="6:7" x14ac:dyDescent="0.2">
      <c r="F1938" s="123">
        <v>28948</v>
      </c>
      <c r="G1938" s="123" t="s">
        <v>2973</v>
      </c>
    </row>
    <row r="1939" spans="6:7" x14ac:dyDescent="0.2">
      <c r="F1939" s="123">
        <v>28955</v>
      </c>
      <c r="G1939" s="123" t="s">
        <v>2974</v>
      </c>
    </row>
    <row r="1940" spans="6:7" x14ac:dyDescent="0.2">
      <c r="F1940" s="123">
        <v>28967</v>
      </c>
      <c r="G1940" s="123" t="s">
        <v>2975</v>
      </c>
    </row>
    <row r="1941" spans="6:7" x14ac:dyDescent="0.2">
      <c r="F1941" s="123">
        <v>28977</v>
      </c>
      <c r="G1941" s="123" t="s">
        <v>2976</v>
      </c>
    </row>
    <row r="1942" spans="6:7" x14ac:dyDescent="0.2">
      <c r="F1942" s="123">
        <v>28980</v>
      </c>
      <c r="G1942" s="123" t="s">
        <v>2977</v>
      </c>
    </row>
    <row r="1943" spans="6:7" x14ac:dyDescent="0.2">
      <c r="F1943" s="123">
        <v>28988</v>
      </c>
      <c r="G1943" s="123" t="s">
        <v>2978</v>
      </c>
    </row>
    <row r="1944" spans="6:7" x14ac:dyDescent="0.2">
      <c r="F1944" s="123">
        <v>28992</v>
      </c>
      <c r="G1944" s="123" t="s">
        <v>2979</v>
      </c>
    </row>
    <row r="1945" spans="6:7" x14ac:dyDescent="0.2">
      <c r="F1945" s="123">
        <v>28994</v>
      </c>
      <c r="G1945" s="123" t="s">
        <v>2980</v>
      </c>
    </row>
    <row r="1946" spans="6:7" x14ac:dyDescent="0.2">
      <c r="F1946" s="123">
        <v>29011</v>
      </c>
      <c r="G1946" s="123" t="s">
        <v>2981</v>
      </c>
    </row>
    <row r="1947" spans="6:7" x14ac:dyDescent="0.2">
      <c r="F1947" s="123">
        <v>29017</v>
      </c>
      <c r="G1947" s="123" t="s">
        <v>2982</v>
      </c>
    </row>
    <row r="1948" spans="6:7" x14ac:dyDescent="0.2">
      <c r="F1948" s="123">
        <v>29019</v>
      </c>
      <c r="G1948" s="123" t="s">
        <v>2983</v>
      </c>
    </row>
    <row r="1949" spans="6:7" x14ac:dyDescent="0.2">
      <c r="F1949" s="123">
        <v>29095</v>
      </c>
      <c r="G1949" s="123" t="s">
        <v>2984</v>
      </c>
    </row>
    <row r="1950" spans="6:7" x14ac:dyDescent="0.2">
      <c r="F1950" s="123">
        <v>29096</v>
      </c>
      <c r="G1950" s="123" t="s">
        <v>2985</v>
      </c>
    </row>
    <row r="1951" spans="6:7" x14ac:dyDescent="0.2">
      <c r="F1951" s="123">
        <v>29125</v>
      </c>
      <c r="G1951" s="123" t="s">
        <v>2986</v>
      </c>
    </row>
    <row r="1952" spans="6:7" x14ac:dyDescent="0.2">
      <c r="F1952" s="123">
        <v>29127</v>
      </c>
      <c r="G1952" s="123" t="s">
        <v>2987</v>
      </c>
    </row>
    <row r="1953" spans="6:7" x14ac:dyDescent="0.2">
      <c r="F1953" s="123">
        <v>29130</v>
      </c>
      <c r="G1953" s="123" t="s">
        <v>2988</v>
      </c>
    </row>
    <row r="1954" spans="6:7" x14ac:dyDescent="0.2">
      <c r="F1954" s="123">
        <v>29168</v>
      </c>
      <c r="G1954" s="123" t="s">
        <v>2989</v>
      </c>
    </row>
    <row r="1955" spans="6:7" x14ac:dyDescent="0.2">
      <c r="F1955" s="123">
        <v>29169</v>
      </c>
      <c r="G1955" s="123" t="s">
        <v>2990</v>
      </c>
    </row>
    <row r="1956" spans="6:7" x14ac:dyDescent="0.2">
      <c r="F1956" s="123">
        <v>29197</v>
      </c>
      <c r="G1956" s="123" t="s">
        <v>2991</v>
      </c>
    </row>
    <row r="1957" spans="6:7" x14ac:dyDescent="0.2">
      <c r="F1957" s="123">
        <v>29219</v>
      </c>
      <c r="G1957" s="123" t="s">
        <v>2992</v>
      </c>
    </row>
    <row r="1958" spans="6:7" x14ac:dyDescent="0.2">
      <c r="F1958" s="123">
        <v>29228</v>
      </c>
      <c r="G1958" s="123" t="s">
        <v>2993</v>
      </c>
    </row>
    <row r="1959" spans="6:7" x14ac:dyDescent="0.2">
      <c r="F1959" s="123">
        <v>29229</v>
      </c>
      <c r="G1959" s="123" t="s">
        <v>2994</v>
      </c>
    </row>
    <row r="1960" spans="6:7" x14ac:dyDescent="0.2">
      <c r="F1960" s="123">
        <v>29245</v>
      </c>
      <c r="G1960" s="123" t="s">
        <v>2995</v>
      </c>
    </row>
    <row r="1961" spans="6:7" x14ac:dyDescent="0.2">
      <c r="F1961" s="123">
        <v>29252</v>
      </c>
      <c r="G1961" s="123" t="s">
        <v>2996</v>
      </c>
    </row>
    <row r="1962" spans="6:7" x14ac:dyDescent="0.2">
      <c r="F1962" s="123">
        <v>29264</v>
      </c>
      <c r="G1962" s="123" t="s">
        <v>2997</v>
      </c>
    </row>
    <row r="1963" spans="6:7" x14ac:dyDescent="0.2">
      <c r="F1963" s="123">
        <v>29270</v>
      </c>
      <c r="G1963" s="123" t="s">
        <v>2998</v>
      </c>
    </row>
    <row r="1964" spans="6:7" x14ac:dyDescent="0.2">
      <c r="F1964" s="123">
        <v>29271</v>
      </c>
      <c r="G1964" s="123" t="s">
        <v>2999</v>
      </c>
    </row>
    <row r="1965" spans="6:7" x14ac:dyDescent="0.2">
      <c r="F1965" s="123">
        <v>29272</v>
      </c>
      <c r="G1965" s="123" t="s">
        <v>3000</v>
      </c>
    </row>
    <row r="1966" spans="6:7" x14ac:dyDescent="0.2">
      <c r="F1966" s="123">
        <v>29273</v>
      </c>
      <c r="G1966" s="123" t="s">
        <v>3001</v>
      </c>
    </row>
    <row r="1967" spans="6:7" x14ac:dyDescent="0.2">
      <c r="F1967" s="123">
        <v>29274</v>
      </c>
      <c r="G1967" s="123" t="s">
        <v>3002</v>
      </c>
    </row>
    <row r="1968" spans="6:7" x14ac:dyDescent="0.2">
      <c r="F1968" s="123">
        <v>29279</v>
      </c>
      <c r="G1968" s="123" t="s">
        <v>3003</v>
      </c>
    </row>
    <row r="1969" spans="6:7" x14ac:dyDescent="0.2">
      <c r="F1969" s="123">
        <v>29282</v>
      </c>
      <c r="G1969" s="123" t="s">
        <v>3004</v>
      </c>
    </row>
    <row r="1970" spans="6:7" x14ac:dyDescent="0.2">
      <c r="F1970" s="123">
        <v>29283</v>
      </c>
      <c r="G1970" s="123" t="s">
        <v>3005</v>
      </c>
    </row>
    <row r="1971" spans="6:7" x14ac:dyDescent="0.2">
      <c r="F1971" s="123">
        <v>29285</v>
      </c>
      <c r="G1971" s="123" t="s">
        <v>3006</v>
      </c>
    </row>
    <row r="1972" spans="6:7" x14ac:dyDescent="0.2">
      <c r="F1972" s="123">
        <v>29287</v>
      </c>
      <c r="G1972" s="123" t="s">
        <v>3007</v>
      </c>
    </row>
    <row r="1973" spans="6:7" x14ac:dyDescent="0.2">
      <c r="F1973" s="123">
        <v>29291</v>
      </c>
      <c r="G1973" s="123" t="s">
        <v>3008</v>
      </c>
    </row>
    <row r="1974" spans="6:7" x14ac:dyDescent="0.2">
      <c r="F1974" s="123">
        <v>29292</v>
      </c>
      <c r="G1974" s="123" t="s">
        <v>3009</v>
      </c>
    </row>
    <row r="1975" spans="6:7" x14ac:dyDescent="0.2">
      <c r="F1975" s="123">
        <v>29296</v>
      </c>
      <c r="G1975" s="123" t="s">
        <v>3010</v>
      </c>
    </row>
    <row r="1976" spans="6:7" x14ac:dyDescent="0.2">
      <c r="F1976" s="123">
        <v>29301</v>
      </c>
      <c r="G1976" s="123" t="s">
        <v>3011</v>
      </c>
    </row>
    <row r="1977" spans="6:7" x14ac:dyDescent="0.2">
      <c r="F1977" s="123">
        <v>29304</v>
      </c>
      <c r="G1977" s="123" t="s">
        <v>3012</v>
      </c>
    </row>
    <row r="1978" spans="6:7" x14ac:dyDescent="0.2">
      <c r="F1978" s="123">
        <v>29306</v>
      </c>
      <c r="G1978" s="123" t="s">
        <v>3013</v>
      </c>
    </row>
    <row r="1979" spans="6:7" x14ac:dyDescent="0.2">
      <c r="F1979" s="123">
        <v>29312</v>
      </c>
      <c r="G1979" s="123" t="s">
        <v>3014</v>
      </c>
    </row>
    <row r="1980" spans="6:7" x14ac:dyDescent="0.2">
      <c r="F1980" s="123">
        <v>29316</v>
      </c>
      <c r="G1980" s="123" t="s">
        <v>3015</v>
      </c>
    </row>
    <row r="1981" spans="6:7" x14ac:dyDescent="0.2">
      <c r="F1981" s="123">
        <v>29323</v>
      </c>
      <c r="G1981" s="123" t="s">
        <v>3016</v>
      </c>
    </row>
    <row r="1982" spans="6:7" x14ac:dyDescent="0.2">
      <c r="F1982" s="123">
        <v>29325</v>
      </c>
      <c r="G1982" s="123" t="s">
        <v>3017</v>
      </c>
    </row>
    <row r="1983" spans="6:7" x14ac:dyDescent="0.2">
      <c r="F1983" s="123">
        <v>29326</v>
      </c>
      <c r="G1983" s="123" t="s">
        <v>3018</v>
      </c>
    </row>
    <row r="1984" spans="6:7" x14ac:dyDescent="0.2">
      <c r="F1984" s="123">
        <v>29331</v>
      </c>
      <c r="G1984" s="123" t="s">
        <v>3019</v>
      </c>
    </row>
    <row r="1985" spans="6:7" x14ac:dyDescent="0.2">
      <c r="F1985" s="123">
        <v>29333</v>
      </c>
      <c r="G1985" s="123" t="s">
        <v>3020</v>
      </c>
    </row>
    <row r="1986" spans="6:7" x14ac:dyDescent="0.2">
      <c r="F1986" s="123">
        <v>29334</v>
      </c>
      <c r="G1986" s="123" t="s">
        <v>3021</v>
      </c>
    </row>
    <row r="1987" spans="6:7" x14ac:dyDescent="0.2">
      <c r="F1987" s="123">
        <v>29335</v>
      </c>
      <c r="G1987" s="123" t="s">
        <v>3022</v>
      </c>
    </row>
    <row r="1988" spans="6:7" x14ac:dyDescent="0.2">
      <c r="F1988" s="123">
        <v>29339</v>
      </c>
      <c r="G1988" s="123" t="s">
        <v>3023</v>
      </c>
    </row>
    <row r="1989" spans="6:7" x14ac:dyDescent="0.2">
      <c r="F1989" s="123">
        <v>29340</v>
      </c>
      <c r="G1989" s="123" t="s">
        <v>3024</v>
      </c>
    </row>
    <row r="1990" spans="6:7" x14ac:dyDescent="0.2">
      <c r="F1990" s="123">
        <v>29341</v>
      </c>
      <c r="G1990" s="123" t="s">
        <v>3025</v>
      </c>
    </row>
    <row r="1991" spans="6:7" x14ac:dyDescent="0.2">
      <c r="F1991" s="123">
        <v>29344</v>
      </c>
      <c r="G1991" s="123" t="s">
        <v>3026</v>
      </c>
    </row>
    <row r="1992" spans="6:7" x14ac:dyDescent="0.2">
      <c r="F1992" s="123">
        <v>29346</v>
      </c>
      <c r="G1992" s="123" t="s">
        <v>3027</v>
      </c>
    </row>
    <row r="1993" spans="6:7" x14ac:dyDescent="0.2">
      <c r="F1993" s="123">
        <v>29347</v>
      </c>
      <c r="G1993" s="123" t="s">
        <v>3028</v>
      </c>
    </row>
    <row r="1994" spans="6:7" x14ac:dyDescent="0.2">
      <c r="F1994" s="123">
        <v>29349</v>
      </c>
      <c r="G1994" s="123" t="s">
        <v>1419</v>
      </c>
    </row>
    <row r="1995" spans="6:7" x14ac:dyDescent="0.2">
      <c r="F1995" s="123">
        <v>29350</v>
      </c>
      <c r="G1995" s="123" t="s">
        <v>3029</v>
      </c>
    </row>
    <row r="1996" spans="6:7" x14ac:dyDescent="0.2">
      <c r="F1996" s="123">
        <v>29352</v>
      </c>
      <c r="G1996" s="123" t="s">
        <v>3030</v>
      </c>
    </row>
    <row r="1997" spans="6:7" x14ac:dyDescent="0.2">
      <c r="F1997" s="123">
        <v>29353</v>
      </c>
      <c r="G1997" s="123" t="s">
        <v>3031</v>
      </c>
    </row>
    <row r="1998" spans="6:7" x14ac:dyDescent="0.2">
      <c r="F1998" s="123">
        <v>29354</v>
      </c>
      <c r="G1998" s="123" t="s">
        <v>3032</v>
      </c>
    </row>
    <row r="1999" spans="6:7" x14ac:dyDescent="0.2">
      <c r="F1999" s="123">
        <v>29356</v>
      </c>
      <c r="G1999" s="123" t="s">
        <v>3033</v>
      </c>
    </row>
    <row r="2000" spans="6:7" x14ac:dyDescent="0.2">
      <c r="F2000" s="123">
        <v>29364</v>
      </c>
      <c r="G2000" s="123" t="s">
        <v>3034</v>
      </c>
    </row>
    <row r="2001" spans="6:7" x14ac:dyDescent="0.2">
      <c r="F2001" s="123">
        <v>29365</v>
      </c>
      <c r="G2001" s="123" t="s">
        <v>3035</v>
      </c>
    </row>
    <row r="2002" spans="6:7" x14ac:dyDescent="0.2">
      <c r="F2002" s="123">
        <v>29366</v>
      </c>
      <c r="G2002" s="123" t="s">
        <v>3036</v>
      </c>
    </row>
    <row r="2003" spans="6:7" x14ac:dyDescent="0.2">
      <c r="F2003" s="123">
        <v>29367</v>
      </c>
      <c r="G2003" s="123" t="s">
        <v>3037</v>
      </c>
    </row>
    <row r="2004" spans="6:7" x14ac:dyDescent="0.2">
      <c r="F2004" s="123">
        <v>29369</v>
      </c>
      <c r="G2004" s="123" t="s">
        <v>3038</v>
      </c>
    </row>
    <row r="2005" spans="6:7" x14ac:dyDescent="0.2">
      <c r="F2005" s="123">
        <v>29370</v>
      </c>
      <c r="G2005" s="123" t="s">
        <v>3039</v>
      </c>
    </row>
    <row r="2006" spans="6:7" x14ac:dyDescent="0.2">
      <c r="F2006" s="123">
        <v>29372</v>
      </c>
      <c r="G2006" s="123" t="s">
        <v>3040</v>
      </c>
    </row>
    <row r="2007" spans="6:7" x14ac:dyDescent="0.2">
      <c r="F2007" s="123">
        <v>29373</v>
      </c>
      <c r="G2007" s="123" t="s">
        <v>3041</v>
      </c>
    </row>
    <row r="2008" spans="6:7" x14ac:dyDescent="0.2">
      <c r="F2008" s="123">
        <v>29374</v>
      </c>
      <c r="G2008" s="123" t="s">
        <v>3042</v>
      </c>
    </row>
    <row r="2009" spans="6:7" x14ac:dyDescent="0.2">
      <c r="F2009" s="123">
        <v>29377</v>
      </c>
      <c r="G2009" s="123" t="s">
        <v>3043</v>
      </c>
    </row>
    <row r="2010" spans="6:7" x14ac:dyDescent="0.2">
      <c r="F2010" s="123">
        <v>29380</v>
      </c>
      <c r="G2010" s="123" t="s">
        <v>3044</v>
      </c>
    </row>
    <row r="2011" spans="6:7" x14ac:dyDescent="0.2">
      <c r="F2011" s="123">
        <v>29381</v>
      </c>
      <c r="G2011" s="123" t="s">
        <v>3045</v>
      </c>
    </row>
    <row r="2012" spans="6:7" x14ac:dyDescent="0.2">
      <c r="F2012" s="123">
        <v>29383</v>
      </c>
      <c r="G2012" s="123" t="s">
        <v>3046</v>
      </c>
    </row>
    <row r="2013" spans="6:7" x14ac:dyDescent="0.2">
      <c r="F2013" s="123">
        <v>29384</v>
      </c>
      <c r="G2013" s="123" t="s">
        <v>3047</v>
      </c>
    </row>
    <row r="2014" spans="6:7" x14ac:dyDescent="0.2">
      <c r="F2014" s="123">
        <v>29386</v>
      </c>
      <c r="G2014" s="123" t="s">
        <v>3048</v>
      </c>
    </row>
    <row r="2015" spans="6:7" x14ac:dyDescent="0.2">
      <c r="F2015" s="123">
        <v>29387</v>
      </c>
      <c r="G2015" s="123" t="s">
        <v>3049</v>
      </c>
    </row>
    <row r="2016" spans="6:7" x14ac:dyDescent="0.2">
      <c r="F2016" s="123">
        <v>29388</v>
      </c>
      <c r="G2016" s="123" t="s">
        <v>3050</v>
      </c>
    </row>
    <row r="2017" spans="6:7" x14ac:dyDescent="0.2">
      <c r="F2017" s="123">
        <v>29390</v>
      </c>
      <c r="G2017" s="123" t="s">
        <v>3051</v>
      </c>
    </row>
    <row r="2018" spans="6:7" x14ac:dyDescent="0.2">
      <c r="F2018" s="123">
        <v>29391</v>
      </c>
      <c r="G2018" s="123" t="s">
        <v>3052</v>
      </c>
    </row>
    <row r="2019" spans="6:7" x14ac:dyDescent="0.2">
      <c r="F2019" s="123">
        <v>29392</v>
      </c>
      <c r="G2019" s="123" t="s">
        <v>3053</v>
      </c>
    </row>
    <row r="2020" spans="6:7" x14ac:dyDescent="0.2">
      <c r="F2020" s="123">
        <v>29393</v>
      </c>
      <c r="G2020" s="123" t="s">
        <v>3054</v>
      </c>
    </row>
    <row r="2021" spans="6:7" x14ac:dyDescent="0.2">
      <c r="F2021" s="123">
        <v>29395</v>
      </c>
      <c r="G2021" s="123" t="s">
        <v>3055</v>
      </c>
    </row>
    <row r="2022" spans="6:7" x14ac:dyDescent="0.2">
      <c r="F2022" s="123">
        <v>29396</v>
      </c>
      <c r="G2022" s="123" t="s">
        <v>3056</v>
      </c>
    </row>
    <row r="2023" spans="6:7" x14ac:dyDescent="0.2">
      <c r="F2023" s="123">
        <v>29397</v>
      </c>
      <c r="G2023" s="123" t="s">
        <v>3057</v>
      </c>
    </row>
    <row r="2024" spans="6:7" x14ac:dyDescent="0.2">
      <c r="F2024" s="123">
        <v>29398</v>
      </c>
      <c r="G2024" s="123" t="s">
        <v>3058</v>
      </c>
    </row>
    <row r="2025" spans="6:7" x14ac:dyDescent="0.2">
      <c r="F2025" s="123">
        <v>29400</v>
      </c>
      <c r="G2025" s="123" t="s">
        <v>3059</v>
      </c>
    </row>
    <row r="2026" spans="6:7" x14ac:dyDescent="0.2">
      <c r="F2026" s="123">
        <v>29401</v>
      </c>
      <c r="G2026" s="123" t="s">
        <v>3060</v>
      </c>
    </row>
    <row r="2027" spans="6:7" x14ac:dyDescent="0.2">
      <c r="F2027" s="123">
        <v>29403</v>
      </c>
      <c r="G2027" s="123" t="s">
        <v>3061</v>
      </c>
    </row>
    <row r="2028" spans="6:7" x14ac:dyDescent="0.2">
      <c r="F2028" s="123">
        <v>29405</v>
      </c>
      <c r="G2028" s="123" t="s">
        <v>3062</v>
      </c>
    </row>
    <row r="2029" spans="6:7" x14ac:dyDescent="0.2">
      <c r="F2029" s="123">
        <v>29406</v>
      </c>
      <c r="G2029" s="123" t="s">
        <v>3063</v>
      </c>
    </row>
    <row r="2030" spans="6:7" x14ac:dyDescent="0.2">
      <c r="F2030" s="123">
        <v>29407</v>
      </c>
      <c r="G2030" s="123" t="s">
        <v>3064</v>
      </c>
    </row>
    <row r="2031" spans="6:7" x14ac:dyDescent="0.2">
      <c r="F2031" s="123">
        <v>29408</v>
      </c>
      <c r="G2031" s="123" t="s">
        <v>3065</v>
      </c>
    </row>
    <row r="2032" spans="6:7" x14ac:dyDescent="0.2">
      <c r="F2032" s="123">
        <v>29409</v>
      </c>
      <c r="G2032" s="123" t="s">
        <v>3066</v>
      </c>
    </row>
    <row r="2033" spans="6:7" x14ac:dyDescent="0.2">
      <c r="F2033" s="123">
        <v>29410</v>
      </c>
      <c r="G2033" s="123" t="s">
        <v>3067</v>
      </c>
    </row>
    <row r="2034" spans="6:7" x14ac:dyDescent="0.2">
      <c r="F2034" s="123">
        <v>29412</v>
      </c>
      <c r="G2034" s="123" t="s">
        <v>3068</v>
      </c>
    </row>
    <row r="2035" spans="6:7" x14ac:dyDescent="0.2">
      <c r="F2035" s="123">
        <v>29413</v>
      </c>
      <c r="G2035" s="123" t="s">
        <v>3069</v>
      </c>
    </row>
    <row r="2036" spans="6:7" x14ac:dyDescent="0.2">
      <c r="F2036" s="123">
        <v>29415</v>
      </c>
      <c r="G2036" s="123" t="s">
        <v>3070</v>
      </c>
    </row>
    <row r="2037" spans="6:7" x14ac:dyDescent="0.2">
      <c r="F2037" s="123">
        <v>29417</v>
      </c>
      <c r="G2037" s="123" t="s">
        <v>3071</v>
      </c>
    </row>
    <row r="2038" spans="6:7" x14ac:dyDescent="0.2">
      <c r="F2038" s="123">
        <v>29420</v>
      </c>
      <c r="G2038" s="123" t="s">
        <v>3072</v>
      </c>
    </row>
    <row r="2039" spans="6:7" x14ac:dyDescent="0.2">
      <c r="F2039" s="123">
        <v>29421</v>
      </c>
      <c r="G2039" s="123" t="s">
        <v>3073</v>
      </c>
    </row>
    <row r="2040" spans="6:7" x14ac:dyDescent="0.2">
      <c r="F2040" s="123">
        <v>29432</v>
      </c>
      <c r="G2040" s="123" t="s">
        <v>3074</v>
      </c>
    </row>
    <row r="2041" spans="6:7" x14ac:dyDescent="0.2">
      <c r="F2041" s="123">
        <v>29438</v>
      </c>
      <c r="G2041" s="123" t="s">
        <v>3075</v>
      </c>
    </row>
    <row r="2042" spans="6:7" x14ac:dyDescent="0.2">
      <c r="F2042" s="123">
        <v>29440</v>
      </c>
      <c r="G2042" s="123" t="s">
        <v>3076</v>
      </c>
    </row>
    <row r="2043" spans="6:7" x14ac:dyDescent="0.2">
      <c r="F2043" s="123">
        <v>29442</v>
      </c>
      <c r="G2043" s="123" t="s">
        <v>3077</v>
      </c>
    </row>
    <row r="2044" spans="6:7" x14ac:dyDescent="0.2">
      <c r="F2044" s="123">
        <v>29447</v>
      </c>
      <c r="G2044" s="123" t="s">
        <v>3078</v>
      </c>
    </row>
    <row r="2045" spans="6:7" x14ac:dyDescent="0.2">
      <c r="F2045" s="123">
        <v>29449</v>
      </c>
      <c r="G2045" s="123" t="s">
        <v>3079</v>
      </c>
    </row>
    <row r="2046" spans="6:7" x14ac:dyDescent="0.2">
      <c r="F2046" s="123">
        <v>29452</v>
      </c>
      <c r="G2046" s="123" t="s">
        <v>3080</v>
      </c>
    </row>
    <row r="2047" spans="6:7" x14ac:dyDescent="0.2">
      <c r="F2047" s="123">
        <v>29453</v>
      </c>
      <c r="G2047" s="123" t="s">
        <v>3081</v>
      </c>
    </row>
    <row r="2048" spans="6:7" x14ac:dyDescent="0.2">
      <c r="F2048" s="123">
        <v>29454</v>
      </c>
      <c r="G2048" s="123" t="s">
        <v>3082</v>
      </c>
    </row>
    <row r="2049" spans="6:7" x14ac:dyDescent="0.2">
      <c r="F2049" s="123">
        <v>29455</v>
      </c>
      <c r="G2049" s="123" t="s">
        <v>3083</v>
      </c>
    </row>
    <row r="2050" spans="6:7" x14ac:dyDescent="0.2">
      <c r="F2050" s="123">
        <v>29458</v>
      </c>
      <c r="G2050" s="123" t="s">
        <v>3084</v>
      </c>
    </row>
    <row r="2051" spans="6:7" x14ac:dyDescent="0.2">
      <c r="F2051" s="123">
        <v>29459</v>
      </c>
      <c r="G2051" s="123" t="s">
        <v>3085</v>
      </c>
    </row>
    <row r="2052" spans="6:7" x14ac:dyDescent="0.2">
      <c r="F2052" s="123">
        <v>29460</v>
      </c>
      <c r="G2052" s="123" t="s">
        <v>3086</v>
      </c>
    </row>
    <row r="2053" spans="6:7" x14ac:dyDescent="0.2">
      <c r="F2053" s="123">
        <v>29462</v>
      </c>
      <c r="G2053" s="123" t="s">
        <v>3087</v>
      </c>
    </row>
    <row r="2054" spans="6:7" x14ac:dyDescent="0.2">
      <c r="F2054" s="123">
        <v>29463</v>
      </c>
      <c r="G2054" s="123" t="s">
        <v>3088</v>
      </c>
    </row>
    <row r="2055" spans="6:7" x14ac:dyDescent="0.2">
      <c r="F2055" s="123">
        <v>29467</v>
      </c>
      <c r="G2055" s="123" t="s">
        <v>3089</v>
      </c>
    </row>
    <row r="2056" spans="6:7" x14ac:dyDescent="0.2">
      <c r="F2056" s="123">
        <v>29469</v>
      </c>
      <c r="G2056" s="123" t="s">
        <v>3090</v>
      </c>
    </row>
    <row r="2057" spans="6:7" x14ac:dyDescent="0.2">
      <c r="F2057" s="123">
        <v>29470</v>
      </c>
      <c r="G2057" s="123" t="s">
        <v>3091</v>
      </c>
    </row>
    <row r="2058" spans="6:7" x14ac:dyDescent="0.2">
      <c r="F2058" s="123">
        <v>29472</v>
      </c>
      <c r="G2058" s="123" t="s">
        <v>3092</v>
      </c>
    </row>
    <row r="2059" spans="6:7" x14ac:dyDescent="0.2">
      <c r="F2059" s="123">
        <v>29473</v>
      </c>
      <c r="G2059" s="123" t="s">
        <v>3093</v>
      </c>
    </row>
    <row r="2060" spans="6:7" x14ac:dyDescent="0.2">
      <c r="F2060" s="123">
        <v>29474</v>
      </c>
      <c r="G2060" s="123" t="s">
        <v>3094</v>
      </c>
    </row>
    <row r="2061" spans="6:7" x14ac:dyDescent="0.2">
      <c r="F2061" s="123">
        <v>29476</v>
      </c>
      <c r="G2061" s="123" t="s">
        <v>3095</v>
      </c>
    </row>
    <row r="2062" spans="6:7" x14ac:dyDescent="0.2">
      <c r="F2062" s="123">
        <v>29479</v>
      </c>
      <c r="G2062" s="123" t="s">
        <v>3096</v>
      </c>
    </row>
    <row r="2063" spans="6:7" x14ac:dyDescent="0.2">
      <c r="F2063" s="123">
        <v>29480</v>
      </c>
      <c r="G2063" s="123" t="s">
        <v>3097</v>
      </c>
    </row>
    <row r="2064" spans="6:7" x14ac:dyDescent="0.2">
      <c r="F2064" s="123">
        <v>29482</v>
      </c>
      <c r="G2064" s="123" t="s">
        <v>3098</v>
      </c>
    </row>
    <row r="2065" spans="6:7" x14ac:dyDescent="0.2">
      <c r="F2065" s="123">
        <v>29483</v>
      </c>
      <c r="G2065" s="123" t="s">
        <v>3099</v>
      </c>
    </row>
    <row r="2066" spans="6:7" x14ac:dyDescent="0.2">
      <c r="F2066" s="123">
        <v>29484</v>
      </c>
      <c r="G2066" s="123" t="s">
        <v>3100</v>
      </c>
    </row>
    <row r="2067" spans="6:7" x14ac:dyDescent="0.2">
      <c r="F2067" s="123">
        <v>29486</v>
      </c>
      <c r="G2067" s="123" t="s">
        <v>3101</v>
      </c>
    </row>
    <row r="2068" spans="6:7" x14ac:dyDescent="0.2">
      <c r="F2068" s="123">
        <v>29488</v>
      </c>
      <c r="G2068" s="123" t="s">
        <v>3102</v>
      </c>
    </row>
    <row r="2069" spans="6:7" x14ac:dyDescent="0.2">
      <c r="F2069" s="123">
        <v>29489</v>
      </c>
      <c r="G2069" s="123" t="s">
        <v>3103</v>
      </c>
    </row>
    <row r="2070" spans="6:7" x14ac:dyDescent="0.2">
      <c r="F2070" s="123">
        <v>29490</v>
      </c>
      <c r="G2070" s="123" t="s">
        <v>3104</v>
      </c>
    </row>
    <row r="2071" spans="6:7" x14ac:dyDescent="0.2">
      <c r="F2071" s="123">
        <v>29492</v>
      </c>
      <c r="G2071" s="123" t="s">
        <v>3105</v>
      </c>
    </row>
    <row r="2072" spans="6:7" x14ac:dyDescent="0.2">
      <c r="F2072" s="123">
        <v>29493</v>
      </c>
      <c r="G2072" s="123" t="s">
        <v>3106</v>
      </c>
    </row>
    <row r="2073" spans="6:7" x14ac:dyDescent="0.2">
      <c r="F2073" s="123">
        <v>29494</v>
      </c>
      <c r="G2073" s="123" t="s">
        <v>3107</v>
      </c>
    </row>
    <row r="2074" spans="6:7" x14ac:dyDescent="0.2">
      <c r="F2074" s="123">
        <v>29495</v>
      </c>
      <c r="G2074" s="123" t="s">
        <v>3108</v>
      </c>
    </row>
    <row r="2075" spans="6:7" x14ac:dyDescent="0.2">
      <c r="F2075" s="123">
        <v>29496</v>
      </c>
      <c r="G2075" s="123" t="s">
        <v>3109</v>
      </c>
    </row>
    <row r="2076" spans="6:7" x14ac:dyDescent="0.2">
      <c r="F2076" s="123">
        <v>29497</v>
      </c>
      <c r="G2076" s="123" t="s">
        <v>3110</v>
      </c>
    </row>
    <row r="2077" spans="6:7" x14ac:dyDescent="0.2">
      <c r="F2077" s="123">
        <v>29500</v>
      </c>
      <c r="G2077" s="123" t="s">
        <v>3111</v>
      </c>
    </row>
    <row r="2078" spans="6:7" x14ac:dyDescent="0.2">
      <c r="F2078" s="123">
        <v>29501</v>
      </c>
      <c r="G2078" s="123" t="s">
        <v>3112</v>
      </c>
    </row>
    <row r="2079" spans="6:7" x14ac:dyDescent="0.2">
      <c r="F2079" s="123">
        <v>29502</v>
      </c>
      <c r="G2079" s="123" t="s">
        <v>3113</v>
      </c>
    </row>
    <row r="2080" spans="6:7" x14ac:dyDescent="0.2">
      <c r="F2080" s="123">
        <v>29505</v>
      </c>
      <c r="G2080" s="123" t="s">
        <v>3114</v>
      </c>
    </row>
    <row r="2081" spans="6:7" x14ac:dyDescent="0.2">
      <c r="F2081" s="123">
        <v>29506</v>
      </c>
      <c r="G2081" s="123" t="s">
        <v>3115</v>
      </c>
    </row>
    <row r="2082" spans="6:7" x14ac:dyDescent="0.2">
      <c r="F2082" s="123">
        <v>29508</v>
      </c>
      <c r="G2082" s="123" t="s">
        <v>3116</v>
      </c>
    </row>
    <row r="2083" spans="6:7" x14ac:dyDescent="0.2">
      <c r="F2083" s="123">
        <v>29509</v>
      </c>
      <c r="G2083" s="123" t="s">
        <v>3117</v>
      </c>
    </row>
    <row r="2084" spans="6:7" x14ac:dyDescent="0.2">
      <c r="F2084" s="123">
        <v>29510</v>
      </c>
      <c r="G2084" s="123" t="s">
        <v>3118</v>
      </c>
    </row>
    <row r="2085" spans="6:7" x14ac:dyDescent="0.2">
      <c r="F2085" s="123">
        <v>29511</v>
      </c>
      <c r="G2085" s="123" t="s">
        <v>3119</v>
      </c>
    </row>
    <row r="2086" spans="6:7" x14ac:dyDescent="0.2">
      <c r="F2086" s="123">
        <v>29512</v>
      </c>
      <c r="G2086" s="123" t="s">
        <v>3120</v>
      </c>
    </row>
    <row r="2087" spans="6:7" x14ac:dyDescent="0.2">
      <c r="F2087" s="123">
        <v>29513</v>
      </c>
      <c r="G2087" s="123" t="s">
        <v>3121</v>
      </c>
    </row>
    <row r="2088" spans="6:7" x14ac:dyDescent="0.2">
      <c r="F2088" s="123">
        <v>29514</v>
      </c>
      <c r="G2088" s="123" t="s">
        <v>3122</v>
      </c>
    </row>
    <row r="2089" spans="6:7" x14ac:dyDescent="0.2">
      <c r="F2089" s="123">
        <v>29515</v>
      </c>
      <c r="G2089" s="123" t="s">
        <v>3123</v>
      </c>
    </row>
    <row r="2090" spans="6:7" x14ac:dyDescent="0.2">
      <c r="F2090" s="123">
        <v>29517</v>
      </c>
      <c r="G2090" s="123" t="s">
        <v>3124</v>
      </c>
    </row>
    <row r="2091" spans="6:7" x14ac:dyDescent="0.2">
      <c r="F2091" s="123">
        <v>29519</v>
      </c>
      <c r="G2091" s="123" t="s">
        <v>3125</v>
      </c>
    </row>
    <row r="2092" spans="6:7" x14ac:dyDescent="0.2">
      <c r="F2092" s="123">
        <v>29520</v>
      </c>
      <c r="G2092" s="123" t="s">
        <v>3126</v>
      </c>
    </row>
    <row r="2093" spans="6:7" x14ac:dyDescent="0.2">
      <c r="F2093" s="123">
        <v>29523</v>
      </c>
      <c r="G2093" s="123" t="s">
        <v>3127</v>
      </c>
    </row>
    <row r="2094" spans="6:7" x14ac:dyDescent="0.2">
      <c r="F2094" s="123">
        <v>29524</v>
      </c>
      <c r="G2094" s="123" t="s">
        <v>3128</v>
      </c>
    </row>
    <row r="2095" spans="6:7" x14ac:dyDescent="0.2">
      <c r="F2095" s="123">
        <v>29525</v>
      </c>
      <c r="G2095" s="123" t="s">
        <v>3129</v>
      </c>
    </row>
    <row r="2096" spans="6:7" x14ac:dyDescent="0.2">
      <c r="F2096" s="123">
        <v>29526</v>
      </c>
      <c r="G2096" s="123" t="s">
        <v>3130</v>
      </c>
    </row>
    <row r="2097" spans="6:7" x14ac:dyDescent="0.2">
      <c r="F2097" s="123">
        <v>29530</v>
      </c>
      <c r="G2097" s="123" t="s">
        <v>3131</v>
      </c>
    </row>
    <row r="2098" spans="6:7" x14ac:dyDescent="0.2">
      <c r="F2098" s="123">
        <v>29531</v>
      </c>
      <c r="G2098" s="123" t="s">
        <v>3132</v>
      </c>
    </row>
    <row r="2099" spans="6:7" x14ac:dyDescent="0.2">
      <c r="F2099" s="123">
        <v>29533</v>
      </c>
      <c r="G2099" s="123" t="s">
        <v>3133</v>
      </c>
    </row>
    <row r="2100" spans="6:7" x14ac:dyDescent="0.2">
      <c r="F2100" s="123">
        <v>29534</v>
      </c>
      <c r="G2100" s="123" t="s">
        <v>3134</v>
      </c>
    </row>
    <row r="2101" spans="6:7" x14ac:dyDescent="0.2">
      <c r="F2101" s="123">
        <v>29539</v>
      </c>
      <c r="G2101" s="123" t="s">
        <v>3135</v>
      </c>
    </row>
    <row r="2102" spans="6:7" x14ac:dyDescent="0.2">
      <c r="F2102" s="123">
        <v>29541</v>
      </c>
      <c r="G2102" s="123" t="s">
        <v>3136</v>
      </c>
    </row>
    <row r="2103" spans="6:7" x14ac:dyDescent="0.2">
      <c r="F2103" s="123">
        <v>29545</v>
      </c>
      <c r="G2103" s="123" t="s">
        <v>3137</v>
      </c>
    </row>
    <row r="2104" spans="6:7" x14ac:dyDescent="0.2">
      <c r="F2104" s="123">
        <v>29546</v>
      </c>
      <c r="G2104" s="123" t="s">
        <v>3138</v>
      </c>
    </row>
    <row r="2105" spans="6:7" x14ac:dyDescent="0.2">
      <c r="F2105" s="123">
        <v>29547</v>
      </c>
      <c r="G2105" s="123" t="s">
        <v>3139</v>
      </c>
    </row>
    <row r="2106" spans="6:7" x14ac:dyDescent="0.2">
      <c r="F2106" s="123">
        <v>29549</v>
      </c>
      <c r="G2106" s="123" t="s">
        <v>3140</v>
      </c>
    </row>
    <row r="2107" spans="6:7" x14ac:dyDescent="0.2">
      <c r="F2107" s="123">
        <v>29552</v>
      </c>
      <c r="G2107" s="123" t="s">
        <v>3141</v>
      </c>
    </row>
    <row r="2108" spans="6:7" x14ac:dyDescent="0.2">
      <c r="F2108" s="123">
        <v>29553</v>
      </c>
      <c r="G2108" s="123" t="s">
        <v>3142</v>
      </c>
    </row>
    <row r="2109" spans="6:7" x14ac:dyDescent="0.2">
      <c r="F2109" s="123">
        <v>29556</v>
      </c>
      <c r="G2109" s="123" t="s">
        <v>3143</v>
      </c>
    </row>
    <row r="2110" spans="6:7" x14ac:dyDescent="0.2">
      <c r="F2110" s="123">
        <v>29557</v>
      </c>
      <c r="G2110" s="123" t="s">
        <v>3144</v>
      </c>
    </row>
    <row r="2111" spans="6:7" x14ac:dyDescent="0.2">
      <c r="F2111" s="123">
        <v>29558</v>
      </c>
      <c r="G2111" s="123" t="s">
        <v>3145</v>
      </c>
    </row>
    <row r="2112" spans="6:7" x14ac:dyDescent="0.2">
      <c r="F2112" s="123">
        <v>29563</v>
      </c>
      <c r="G2112" s="123" t="s">
        <v>3146</v>
      </c>
    </row>
    <row r="2113" spans="6:7" x14ac:dyDescent="0.2">
      <c r="F2113" s="123">
        <v>29565</v>
      </c>
      <c r="G2113" s="123" t="s">
        <v>3147</v>
      </c>
    </row>
    <row r="2114" spans="6:7" x14ac:dyDescent="0.2">
      <c r="F2114" s="123">
        <v>29566</v>
      </c>
      <c r="G2114" s="123" t="s">
        <v>3148</v>
      </c>
    </row>
    <row r="2115" spans="6:7" x14ac:dyDescent="0.2">
      <c r="F2115" s="123">
        <v>29567</v>
      </c>
      <c r="G2115" s="123" t="s">
        <v>3149</v>
      </c>
    </row>
    <row r="2116" spans="6:7" x14ac:dyDescent="0.2">
      <c r="F2116" s="123">
        <v>29568</v>
      </c>
      <c r="G2116" s="123" t="s">
        <v>3150</v>
      </c>
    </row>
    <row r="2117" spans="6:7" x14ac:dyDescent="0.2">
      <c r="F2117" s="123">
        <v>29570</v>
      </c>
      <c r="G2117" s="123" t="s">
        <v>3151</v>
      </c>
    </row>
    <row r="2118" spans="6:7" x14ac:dyDescent="0.2">
      <c r="F2118" s="123">
        <v>29571</v>
      </c>
      <c r="G2118" s="123" t="s">
        <v>3152</v>
      </c>
    </row>
    <row r="2119" spans="6:7" x14ac:dyDescent="0.2">
      <c r="F2119" s="123">
        <v>29572</v>
      </c>
      <c r="G2119" s="123" t="s">
        <v>3153</v>
      </c>
    </row>
    <row r="2120" spans="6:7" x14ac:dyDescent="0.2">
      <c r="F2120" s="123">
        <v>29573</v>
      </c>
      <c r="G2120" s="123" t="s">
        <v>3154</v>
      </c>
    </row>
    <row r="2121" spans="6:7" x14ac:dyDescent="0.2">
      <c r="F2121" s="123">
        <v>29576</v>
      </c>
      <c r="G2121" s="123" t="s">
        <v>3155</v>
      </c>
    </row>
    <row r="2122" spans="6:7" x14ac:dyDescent="0.2">
      <c r="F2122" s="123">
        <v>29579</v>
      </c>
      <c r="G2122" s="123" t="s">
        <v>3156</v>
      </c>
    </row>
    <row r="2123" spans="6:7" x14ac:dyDescent="0.2">
      <c r="F2123" s="123">
        <v>29580</v>
      </c>
      <c r="G2123" s="123" t="s">
        <v>3157</v>
      </c>
    </row>
    <row r="2124" spans="6:7" x14ac:dyDescent="0.2">
      <c r="F2124" s="123">
        <v>29581</v>
      </c>
      <c r="G2124" s="123" t="s">
        <v>3158</v>
      </c>
    </row>
    <row r="2125" spans="6:7" x14ac:dyDescent="0.2">
      <c r="F2125" s="123">
        <v>29582</v>
      </c>
      <c r="G2125" s="123" t="s">
        <v>3159</v>
      </c>
    </row>
    <row r="2126" spans="6:7" x14ac:dyDescent="0.2">
      <c r="F2126" s="123">
        <v>29583</v>
      </c>
      <c r="G2126" s="123" t="s">
        <v>3160</v>
      </c>
    </row>
    <row r="2127" spans="6:7" x14ac:dyDescent="0.2">
      <c r="F2127" s="123">
        <v>29585</v>
      </c>
      <c r="G2127" s="123" t="s">
        <v>3161</v>
      </c>
    </row>
    <row r="2128" spans="6:7" x14ac:dyDescent="0.2">
      <c r="F2128" s="123">
        <v>29589</v>
      </c>
      <c r="G2128" s="123" t="s">
        <v>3162</v>
      </c>
    </row>
    <row r="2129" spans="6:7" x14ac:dyDescent="0.2">
      <c r="F2129" s="123">
        <v>29591</v>
      </c>
      <c r="G2129" s="123" t="s">
        <v>3163</v>
      </c>
    </row>
    <row r="2130" spans="6:7" x14ac:dyDescent="0.2">
      <c r="F2130" s="123">
        <v>29592</v>
      </c>
      <c r="G2130" s="123" t="s">
        <v>3164</v>
      </c>
    </row>
    <row r="2131" spans="6:7" x14ac:dyDescent="0.2">
      <c r="F2131" s="123">
        <v>29593</v>
      </c>
      <c r="G2131" s="123" t="s">
        <v>3165</v>
      </c>
    </row>
    <row r="2132" spans="6:7" x14ac:dyDescent="0.2">
      <c r="F2132" s="123">
        <v>29594</v>
      </c>
      <c r="G2132" s="123" t="s">
        <v>3166</v>
      </c>
    </row>
    <row r="2133" spans="6:7" x14ac:dyDescent="0.2">
      <c r="F2133" s="123">
        <v>29595</v>
      </c>
      <c r="G2133" s="123" t="s">
        <v>3167</v>
      </c>
    </row>
    <row r="2134" spans="6:7" x14ac:dyDescent="0.2">
      <c r="F2134" s="123">
        <v>29598</v>
      </c>
      <c r="G2134" s="123" t="s">
        <v>3168</v>
      </c>
    </row>
    <row r="2135" spans="6:7" x14ac:dyDescent="0.2">
      <c r="F2135" s="123">
        <v>29600</v>
      </c>
      <c r="G2135" s="123" t="s">
        <v>3169</v>
      </c>
    </row>
    <row r="2136" spans="6:7" x14ac:dyDescent="0.2">
      <c r="F2136" s="123">
        <v>29601</v>
      </c>
      <c r="G2136" s="123" t="s">
        <v>3170</v>
      </c>
    </row>
    <row r="2137" spans="6:7" x14ac:dyDescent="0.2">
      <c r="F2137" s="123">
        <v>29603</v>
      </c>
      <c r="G2137" s="123" t="s">
        <v>3171</v>
      </c>
    </row>
    <row r="2138" spans="6:7" x14ac:dyDescent="0.2">
      <c r="F2138" s="123">
        <v>29605</v>
      </c>
      <c r="G2138" s="123" t="s">
        <v>3172</v>
      </c>
    </row>
    <row r="2139" spans="6:7" x14ac:dyDescent="0.2">
      <c r="F2139" s="123">
        <v>29611</v>
      </c>
      <c r="G2139" s="123" t="s">
        <v>3173</v>
      </c>
    </row>
    <row r="2140" spans="6:7" x14ac:dyDescent="0.2">
      <c r="F2140" s="123">
        <v>29616</v>
      </c>
      <c r="G2140" s="123" t="s">
        <v>3174</v>
      </c>
    </row>
    <row r="2141" spans="6:7" x14ac:dyDescent="0.2">
      <c r="F2141" s="123">
        <v>29618</v>
      </c>
      <c r="G2141" s="123" t="s">
        <v>3175</v>
      </c>
    </row>
    <row r="2142" spans="6:7" x14ac:dyDescent="0.2">
      <c r="F2142" s="123">
        <v>29622</v>
      </c>
      <c r="G2142" s="123" t="s">
        <v>3176</v>
      </c>
    </row>
    <row r="2143" spans="6:7" x14ac:dyDescent="0.2">
      <c r="F2143" s="123">
        <v>29627</v>
      </c>
      <c r="G2143" s="123" t="s">
        <v>3177</v>
      </c>
    </row>
    <row r="2144" spans="6:7" x14ac:dyDescent="0.2">
      <c r="F2144" s="123">
        <v>29638</v>
      </c>
      <c r="G2144" s="123" t="s">
        <v>3178</v>
      </c>
    </row>
    <row r="2145" spans="6:7" x14ac:dyDescent="0.2">
      <c r="F2145" s="123">
        <v>29643</v>
      </c>
      <c r="G2145" s="123" t="s">
        <v>3179</v>
      </c>
    </row>
    <row r="2146" spans="6:7" x14ac:dyDescent="0.2">
      <c r="F2146" s="123">
        <v>29647</v>
      </c>
      <c r="G2146" s="123" t="s">
        <v>3180</v>
      </c>
    </row>
    <row r="2147" spans="6:7" x14ac:dyDescent="0.2">
      <c r="F2147" s="123">
        <v>29649</v>
      </c>
      <c r="G2147" s="123" t="s">
        <v>3181</v>
      </c>
    </row>
    <row r="2148" spans="6:7" x14ac:dyDescent="0.2">
      <c r="F2148" s="123">
        <v>29659</v>
      </c>
      <c r="G2148" s="123" t="s">
        <v>3182</v>
      </c>
    </row>
    <row r="2149" spans="6:7" x14ac:dyDescent="0.2">
      <c r="F2149" s="123">
        <v>29662</v>
      </c>
      <c r="G2149" s="123" t="s">
        <v>3183</v>
      </c>
    </row>
    <row r="2150" spans="6:7" x14ac:dyDescent="0.2">
      <c r="F2150" s="123">
        <v>29665</v>
      </c>
      <c r="G2150" s="123" t="s">
        <v>3184</v>
      </c>
    </row>
    <row r="2151" spans="6:7" x14ac:dyDescent="0.2">
      <c r="F2151" s="123">
        <v>29670</v>
      </c>
      <c r="G2151" s="123" t="s">
        <v>3185</v>
      </c>
    </row>
    <row r="2152" spans="6:7" x14ac:dyDescent="0.2">
      <c r="F2152" s="123">
        <v>29691</v>
      </c>
      <c r="G2152" s="123" t="s">
        <v>3186</v>
      </c>
    </row>
    <row r="2153" spans="6:7" x14ac:dyDescent="0.2">
      <c r="F2153" s="123">
        <v>29692</v>
      </c>
      <c r="G2153" s="123" t="s">
        <v>3187</v>
      </c>
    </row>
    <row r="2154" spans="6:7" x14ac:dyDescent="0.2">
      <c r="F2154" s="123">
        <v>29697</v>
      </c>
      <c r="G2154" s="123" t="s">
        <v>3188</v>
      </c>
    </row>
    <row r="2155" spans="6:7" x14ac:dyDescent="0.2">
      <c r="F2155" s="123">
        <v>29703</v>
      </c>
      <c r="G2155" s="123" t="s">
        <v>3189</v>
      </c>
    </row>
    <row r="2156" spans="6:7" x14ac:dyDescent="0.2">
      <c r="F2156" s="123">
        <v>29704</v>
      </c>
      <c r="G2156" s="123" t="s">
        <v>3190</v>
      </c>
    </row>
    <row r="2157" spans="6:7" x14ac:dyDescent="0.2">
      <c r="F2157" s="123">
        <v>29716</v>
      </c>
      <c r="G2157" s="123" t="s">
        <v>3191</v>
      </c>
    </row>
    <row r="2158" spans="6:7" x14ac:dyDescent="0.2">
      <c r="F2158" s="123">
        <v>29719</v>
      </c>
      <c r="G2158" s="123" t="s">
        <v>3192</v>
      </c>
    </row>
    <row r="2159" spans="6:7" x14ac:dyDescent="0.2">
      <c r="F2159" s="123">
        <v>29724</v>
      </c>
      <c r="G2159" s="123" t="s">
        <v>3193</v>
      </c>
    </row>
    <row r="2160" spans="6:7" x14ac:dyDescent="0.2">
      <c r="F2160" s="123">
        <v>29731</v>
      </c>
      <c r="G2160" s="123" t="s">
        <v>3194</v>
      </c>
    </row>
    <row r="2161" spans="6:7" x14ac:dyDescent="0.2">
      <c r="F2161" s="123">
        <v>29736</v>
      </c>
      <c r="G2161" s="123" t="s">
        <v>3195</v>
      </c>
    </row>
    <row r="2162" spans="6:7" x14ac:dyDescent="0.2">
      <c r="F2162" s="123">
        <v>29741</v>
      </c>
      <c r="G2162" s="123" t="s">
        <v>3196</v>
      </c>
    </row>
    <row r="2163" spans="6:7" x14ac:dyDescent="0.2">
      <c r="F2163" s="123">
        <v>29745</v>
      </c>
      <c r="G2163" s="123" t="s">
        <v>3197</v>
      </c>
    </row>
    <row r="2164" spans="6:7" x14ac:dyDescent="0.2">
      <c r="F2164" s="123">
        <v>29755</v>
      </c>
      <c r="G2164" s="123" t="s">
        <v>3198</v>
      </c>
    </row>
    <row r="2165" spans="6:7" x14ac:dyDescent="0.2">
      <c r="F2165" s="123">
        <v>29761</v>
      </c>
      <c r="G2165" s="123" t="s">
        <v>3199</v>
      </c>
    </row>
    <row r="2166" spans="6:7" x14ac:dyDescent="0.2">
      <c r="F2166" s="123">
        <v>29762</v>
      </c>
      <c r="G2166" s="123" t="s">
        <v>3200</v>
      </c>
    </row>
    <row r="2167" spans="6:7" x14ac:dyDescent="0.2">
      <c r="F2167" s="123">
        <v>29763</v>
      </c>
      <c r="G2167" s="123" t="s">
        <v>3201</v>
      </c>
    </row>
    <row r="2168" spans="6:7" x14ac:dyDescent="0.2">
      <c r="F2168" s="123">
        <v>29765</v>
      </c>
      <c r="G2168" s="123" t="s">
        <v>3202</v>
      </c>
    </row>
    <row r="2169" spans="6:7" x14ac:dyDescent="0.2">
      <c r="F2169" s="123">
        <v>29768</v>
      </c>
      <c r="G2169" s="123" t="s">
        <v>3203</v>
      </c>
    </row>
    <row r="2170" spans="6:7" x14ac:dyDescent="0.2">
      <c r="F2170" s="123">
        <v>29772</v>
      </c>
      <c r="G2170" s="123" t="s">
        <v>3204</v>
      </c>
    </row>
    <row r="2171" spans="6:7" x14ac:dyDescent="0.2">
      <c r="F2171" s="123">
        <v>29773</v>
      </c>
      <c r="G2171" s="123" t="s">
        <v>3205</v>
      </c>
    </row>
    <row r="2172" spans="6:7" x14ac:dyDescent="0.2">
      <c r="F2172" s="123">
        <v>29774</v>
      </c>
      <c r="G2172" s="123" t="s">
        <v>3206</v>
      </c>
    </row>
    <row r="2173" spans="6:7" x14ac:dyDescent="0.2">
      <c r="F2173" s="123">
        <v>29778</v>
      </c>
      <c r="G2173" s="123" t="s">
        <v>3207</v>
      </c>
    </row>
    <row r="2174" spans="6:7" x14ac:dyDescent="0.2">
      <c r="F2174" s="123">
        <v>29779</v>
      </c>
      <c r="G2174" s="123" t="s">
        <v>3208</v>
      </c>
    </row>
    <row r="2175" spans="6:7" x14ac:dyDescent="0.2">
      <c r="F2175" s="123">
        <v>29791</v>
      </c>
      <c r="G2175" s="123" t="s">
        <v>3209</v>
      </c>
    </row>
    <row r="2176" spans="6:7" x14ac:dyDescent="0.2">
      <c r="F2176" s="123">
        <v>29805</v>
      </c>
      <c r="G2176" s="123" t="s">
        <v>3210</v>
      </c>
    </row>
    <row r="2177" spans="6:7" x14ac:dyDescent="0.2">
      <c r="F2177" s="123">
        <v>29843</v>
      </c>
      <c r="G2177" s="123" t="s">
        <v>3211</v>
      </c>
    </row>
    <row r="2178" spans="6:7" x14ac:dyDescent="0.2">
      <c r="F2178" s="123">
        <v>29853</v>
      </c>
      <c r="G2178" s="123" t="s">
        <v>3212</v>
      </c>
    </row>
    <row r="2179" spans="6:7" x14ac:dyDescent="0.2">
      <c r="F2179" s="123">
        <v>29883</v>
      </c>
      <c r="G2179" s="123" t="s">
        <v>3213</v>
      </c>
    </row>
    <row r="2180" spans="6:7" x14ac:dyDescent="0.2">
      <c r="F2180" s="123">
        <v>29887</v>
      </c>
      <c r="G2180" s="123" t="s">
        <v>3214</v>
      </c>
    </row>
    <row r="2181" spans="6:7" x14ac:dyDescent="0.2">
      <c r="F2181" s="123">
        <v>29897</v>
      </c>
      <c r="G2181" s="123" t="s">
        <v>3215</v>
      </c>
    </row>
    <row r="2182" spans="6:7" x14ac:dyDescent="0.2">
      <c r="F2182" s="123">
        <v>29906</v>
      </c>
      <c r="G2182" s="123" t="s">
        <v>3216</v>
      </c>
    </row>
    <row r="2183" spans="6:7" x14ac:dyDescent="0.2">
      <c r="F2183" s="123">
        <v>29908</v>
      </c>
      <c r="G2183" s="123" t="s">
        <v>3217</v>
      </c>
    </row>
    <row r="2184" spans="6:7" x14ac:dyDescent="0.2">
      <c r="F2184" s="123">
        <v>29914</v>
      </c>
      <c r="G2184" s="123" t="s">
        <v>3218</v>
      </c>
    </row>
    <row r="2185" spans="6:7" x14ac:dyDescent="0.2">
      <c r="F2185" s="123">
        <v>29926</v>
      </c>
      <c r="G2185" s="123" t="s">
        <v>3219</v>
      </c>
    </row>
    <row r="2186" spans="6:7" x14ac:dyDescent="0.2">
      <c r="F2186" s="123">
        <v>29941</v>
      </c>
      <c r="G2186" s="123" t="s">
        <v>3220</v>
      </c>
    </row>
    <row r="2187" spans="6:7" x14ac:dyDescent="0.2">
      <c r="F2187" s="123">
        <v>29945</v>
      </c>
      <c r="G2187" s="123" t="s">
        <v>3221</v>
      </c>
    </row>
    <row r="2188" spans="6:7" x14ac:dyDescent="0.2">
      <c r="F2188" s="123">
        <v>29949</v>
      </c>
      <c r="G2188" s="123" t="s">
        <v>3222</v>
      </c>
    </row>
    <row r="2189" spans="6:7" x14ac:dyDescent="0.2">
      <c r="F2189" s="123">
        <v>29955</v>
      </c>
      <c r="G2189" s="123" t="s">
        <v>3223</v>
      </c>
    </row>
    <row r="2190" spans="6:7" x14ac:dyDescent="0.2">
      <c r="F2190" s="123">
        <v>29973</v>
      </c>
      <c r="G2190" s="123" t="s">
        <v>3224</v>
      </c>
    </row>
    <row r="2191" spans="6:7" x14ac:dyDescent="0.2">
      <c r="F2191" s="123">
        <v>29986</v>
      </c>
      <c r="G2191" s="123" t="s">
        <v>3225</v>
      </c>
    </row>
    <row r="2192" spans="6:7" x14ac:dyDescent="0.2">
      <c r="F2192" s="123">
        <v>29992</v>
      </c>
      <c r="G2192" s="123" t="s">
        <v>3226</v>
      </c>
    </row>
    <row r="2193" spans="6:7" x14ac:dyDescent="0.2">
      <c r="F2193" s="123">
        <v>29996</v>
      </c>
      <c r="G2193" s="123" t="s">
        <v>3227</v>
      </c>
    </row>
    <row r="2194" spans="6:7" x14ac:dyDescent="0.2">
      <c r="F2194" s="123">
        <v>30000</v>
      </c>
      <c r="G2194" s="123" t="s">
        <v>3228</v>
      </c>
    </row>
    <row r="2195" spans="6:7" x14ac:dyDescent="0.2">
      <c r="F2195" s="123">
        <v>30002</v>
      </c>
      <c r="G2195" s="123" t="s">
        <v>3229</v>
      </c>
    </row>
    <row r="2196" spans="6:7" x14ac:dyDescent="0.2">
      <c r="F2196" s="123">
        <v>30004</v>
      </c>
      <c r="G2196" s="123" t="s">
        <v>3230</v>
      </c>
    </row>
    <row r="2197" spans="6:7" x14ac:dyDescent="0.2">
      <c r="F2197" s="123">
        <v>30007</v>
      </c>
      <c r="G2197" s="123" t="s">
        <v>3231</v>
      </c>
    </row>
    <row r="2198" spans="6:7" x14ac:dyDescent="0.2">
      <c r="F2198" s="123">
        <v>30010</v>
      </c>
      <c r="G2198" s="123" t="s">
        <v>3232</v>
      </c>
    </row>
    <row r="2199" spans="6:7" x14ac:dyDescent="0.2">
      <c r="F2199" s="123">
        <v>30012</v>
      </c>
      <c r="G2199" s="123" t="s">
        <v>3233</v>
      </c>
    </row>
    <row r="2200" spans="6:7" x14ac:dyDescent="0.2">
      <c r="F2200" s="123">
        <v>30013</v>
      </c>
      <c r="G2200" s="123" t="s">
        <v>3234</v>
      </c>
    </row>
    <row r="2201" spans="6:7" x14ac:dyDescent="0.2">
      <c r="F2201" s="123">
        <v>30016</v>
      </c>
      <c r="G2201" s="123" t="s">
        <v>3235</v>
      </c>
    </row>
    <row r="2202" spans="6:7" x14ac:dyDescent="0.2">
      <c r="F2202" s="123">
        <v>30021</v>
      </c>
      <c r="G2202" s="123" t="s">
        <v>3236</v>
      </c>
    </row>
    <row r="2203" spans="6:7" x14ac:dyDescent="0.2">
      <c r="F2203" s="123">
        <v>30027</v>
      </c>
      <c r="G2203" s="123" t="s">
        <v>3237</v>
      </c>
    </row>
    <row r="2204" spans="6:7" x14ac:dyDescent="0.2">
      <c r="F2204" s="123">
        <v>30031</v>
      </c>
      <c r="G2204" s="123" t="s">
        <v>3238</v>
      </c>
    </row>
    <row r="2205" spans="6:7" x14ac:dyDescent="0.2">
      <c r="F2205" s="123">
        <v>30035</v>
      </c>
      <c r="G2205" s="123" t="s">
        <v>3239</v>
      </c>
    </row>
    <row r="2206" spans="6:7" x14ac:dyDescent="0.2">
      <c r="F2206" s="123">
        <v>30037</v>
      </c>
      <c r="G2206" s="123" t="s">
        <v>3240</v>
      </c>
    </row>
    <row r="2207" spans="6:7" x14ac:dyDescent="0.2">
      <c r="F2207" s="123">
        <v>30039</v>
      </c>
      <c r="G2207" s="123" t="s">
        <v>3241</v>
      </c>
    </row>
    <row r="2208" spans="6:7" x14ac:dyDescent="0.2">
      <c r="F2208" s="123">
        <v>30041</v>
      </c>
      <c r="G2208" s="123" t="s">
        <v>3242</v>
      </c>
    </row>
    <row r="2209" spans="6:7" x14ac:dyDescent="0.2">
      <c r="F2209" s="123">
        <v>30043</v>
      </c>
      <c r="G2209" s="123" t="s">
        <v>3243</v>
      </c>
    </row>
    <row r="2210" spans="6:7" x14ac:dyDescent="0.2">
      <c r="F2210" s="123">
        <v>30045</v>
      </c>
      <c r="G2210" s="123" t="s">
        <v>3244</v>
      </c>
    </row>
    <row r="2211" spans="6:7" x14ac:dyDescent="0.2">
      <c r="F2211" s="123">
        <v>30046</v>
      </c>
      <c r="G2211" s="123" t="s">
        <v>3245</v>
      </c>
    </row>
    <row r="2212" spans="6:7" x14ac:dyDescent="0.2">
      <c r="F2212" s="123">
        <v>30048</v>
      </c>
      <c r="G2212" s="123" t="s">
        <v>3246</v>
      </c>
    </row>
    <row r="2213" spans="6:7" x14ac:dyDescent="0.2">
      <c r="F2213" s="123">
        <v>30052</v>
      </c>
      <c r="G2213" s="123" t="s">
        <v>3247</v>
      </c>
    </row>
    <row r="2214" spans="6:7" x14ac:dyDescent="0.2">
      <c r="F2214" s="123">
        <v>30056</v>
      </c>
      <c r="G2214" s="123" t="s">
        <v>3248</v>
      </c>
    </row>
    <row r="2215" spans="6:7" x14ac:dyDescent="0.2">
      <c r="F2215" s="123">
        <v>30059</v>
      </c>
      <c r="G2215" s="123" t="s">
        <v>3249</v>
      </c>
    </row>
    <row r="2216" spans="6:7" x14ac:dyDescent="0.2">
      <c r="F2216" s="123">
        <v>30065</v>
      </c>
      <c r="G2216" s="123" t="s">
        <v>3250</v>
      </c>
    </row>
    <row r="2217" spans="6:7" x14ac:dyDescent="0.2">
      <c r="F2217" s="123">
        <v>30071</v>
      </c>
      <c r="G2217" s="123" t="s">
        <v>3251</v>
      </c>
    </row>
    <row r="2218" spans="6:7" x14ac:dyDescent="0.2">
      <c r="F2218" s="123">
        <v>30073</v>
      </c>
      <c r="G2218" s="123" t="s">
        <v>3252</v>
      </c>
    </row>
    <row r="2219" spans="6:7" x14ac:dyDescent="0.2">
      <c r="F2219" s="123">
        <v>30078</v>
      </c>
      <c r="G2219" s="123" t="s">
        <v>3253</v>
      </c>
    </row>
    <row r="2220" spans="6:7" x14ac:dyDescent="0.2">
      <c r="F2220" s="123">
        <v>30097</v>
      </c>
      <c r="G2220" s="123" t="s">
        <v>3254</v>
      </c>
    </row>
    <row r="2221" spans="6:7" x14ac:dyDescent="0.2">
      <c r="F2221" s="123">
        <v>30152</v>
      </c>
      <c r="G2221" s="123" t="s">
        <v>3255</v>
      </c>
    </row>
    <row r="2222" spans="6:7" x14ac:dyDescent="0.2">
      <c r="F2222" s="123">
        <v>30166</v>
      </c>
      <c r="G2222" s="123" t="s">
        <v>3256</v>
      </c>
    </row>
    <row r="2223" spans="6:7" x14ac:dyDescent="0.2">
      <c r="F2223" s="123">
        <v>30169</v>
      </c>
      <c r="G2223" s="123" t="s">
        <v>3257</v>
      </c>
    </row>
    <row r="2224" spans="6:7" x14ac:dyDescent="0.2">
      <c r="F2224" s="123">
        <v>30174</v>
      </c>
      <c r="G2224" s="123" t="s">
        <v>3258</v>
      </c>
    </row>
    <row r="2225" spans="6:7" x14ac:dyDescent="0.2">
      <c r="F2225" s="123">
        <v>30176</v>
      </c>
      <c r="G2225" s="123" t="s">
        <v>3259</v>
      </c>
    </row>
    <row r="2226" spans="6:7" x14ac:dyDescent="0.2">
      <c r="F2226" s="123">
        <v>30177</v>
      </c>
      <c r="G2226" s="123" t="s">
        <v>3260</v>
      </c>
    </row>
    <row r="2227" spans="6:7" x14ac:dyDescent="0.2">
      <c r="F2227" s="123">
        <v>30189</v>
      </c>
      <c r="G2227" s="123" t="s">
        <v>3261</v>
      </c>
    </row>
    <row r="2228" spans="6:7" x14ac:dyDescent="0.2">
      <c r="F2228" s="123">
        <v>30195</v>
      </c>
      <c r="G2228" s="123" t="s">
        <v>3262</v>
      </c>
    </row>
    <row r="2229" spans="6:7" x14ac:dyDescent="0.2">
      <c r="F2229" s="123">
        <v>30197</v>
      </c>
      <c r="G2229" s="123" t="s">
        <v>3263</v>
      </c>
    </row>
    <row r="2230" spans="6:7" x14ac:dyDescent="0.2">
      <c r="F2230" s="123">
        <v>30209</v>
      </c>
      <c r="G2230" s="123" t="s">
        <v>3264</v>
      </c>
    </row>
    <row r="2231" spans="6:7" x14ac:dyDescent="0.2">
      <c r="F2231" s="123">
        <v>30232</v>
      </c>
      <c r="G2231" s="123" t="s">
        <v>3265</v>
      </c>
    </row>
    <row r="2232" spans="6:7" x14ac:dyDescent="0.2">
      <c r="F2232" s="123">
        <v>30240</v>
      </c>
      <c r="G2232" s="123" t="s">
        <v>3266</v>
      </c>
    </row>
    <row r="2233" spans="6:7" x14ac:dyDescent="0.2">
      <c r="F2233" s="123">
        <v>30279</v>
      </c>
      <c r="G2233" s="123" t="s">
        <v>3267</v>
      </c>
    </row>
    <row r="2234" spans="6:7" x14ac:dyDescent="0.2">
      <c r="F2234" s="123">
        <v>30318</v>
      </c>
      <c r="G2234" s="123" t="s">
        <v>3268</v>
      </c>
    </row>
    <row r="2235" spans="6:7" x14ac:dyDescent="0.2">
      <c r="F2235" s="123">
        <v>30324</v>
      </c>
      <c r="G2235" s="123" t="s">
        <v>3269</v>
      </c>
    </row>
    <row r="2236" spans="6:7" x14ac:dyDescent="0.2">
      <c r="F2236" s="123">
        <v>30459</v>
      </c>
      <c r="G2236" s="123" t="s">
        <v>3270</v>
      </c>
    </row>
    <row r="2237" spans="6:7" x14ac:dyDescent="0.2">
      <c r="F2237" s="123">
        <v>30490</v>
      </c>
      <c r="G2237" s="123" t="s">
        <v>3271</v>
      </c>
    </row>
    <row r="2238" spans="6:7" x14ac:dyDescent="0.2">
      <c r="F2238" s="123">
        <v>30598</v>
      </c>
      <c r="G2238" s="123" t="s">
        <v>3272</v>
      </c>
    </row>
    <row r="2239" spans="6:7" x14ac:dyDescent="0.2">
      <c r="F2239" s="123">
        <v>30657</v>
      </c>
      <c r="G2239" s="123" t="s">
        <v>3273</v>
      </c>
    </row>
    <row r="2240" spans="6:7" x14ac:dyDescent="0.2">
      <c r="F2240" s="123">
        <v>31178</v>
      </c>
      <c r="G2240" s="123" t="s">
        <v>3274</v>
      </c>
    </row>
    <row r="2241" spans="6:7" x14ac:dyDescent="0.2">
      <c r="F2241" s="123">
        <v>31301</v>
      </c>
      <c r="G2241" s="123" t="s">
        <v>3275</v>
      </c>
    </row>
    <row r="2242" spans="6:7" x14ac:dyDescent="0.2">
      <c r="F2242" s="123">
        <v>31499</v>
      </c>
      <c r="G2242" s="123" t="s">
        <v>3276</v>
      </c>
    </row>
    <row r="2243" spans="6:7" x14ac:dyDescent="0.2">
      <c r="F2243" s="123">
        <v>31548</v>
      </c>
      <c r="G2243" s="123" t="s">
        <v>3277</v>
      </c>
    </row>
    <row r="2244" spans="6:7" x14ac:dyDescent="0.2">
      <c r="F2244" s="123">
        <v>32027</v>
      </c>
      <c r="G2244" s="123" t="s">
        <v>3278</v>
      </c>
    </row>
    <row r="2245" spans="6:7" x14ac:dyDescent="0.2">
      <c r="F2245" s="123">
        <v>32085</v>
      </c>
      <c r="G2245" s="123" t="s">
        <v>3279</v>
      </c>
    </row>
    <row r="2246" spans="6:7" x14ac:dyDescent="0.2">
      <c r="F2246" s="123">
        <v>32128</v>
      </c>
      <c r="G2246" s="123" t="s">
        <v>3280</v>
      </c>
    </row>
    <row r="2247" spans="6:7" x14ac:dyDescent="0.2">
      <c r="F2247" s="123">
        <v>32215</v>
      </c>
      <c r="G2247" s="123" t="s">
        <v>3281</v>
      </c>
    </row>
    <row r="2248" spans="6:7" x14ac:dyDescent="0.2">
      <c r="F2248" s="123">
        <v>32869</v>
      </c>
      <c r="G2248" s="123" t="s">
        <v>3282</v>
      </c>
    </row>
    <row r="2249" spans="6:7" x14ac:dyDescent="0.2">
      <c r="F2249" s="123">
        <v>32984</v>
      </c>
      <c r="G2249" s="123" t="s">
        <v>3283</v>
      </c>
    </row>
    <row r="2250" spans="6:7" x14ac:dyDescent="0.2">
      <c r="F2250" s="123">
        <v>33069</v>
      </c>
      <c r="G2250" s="123" t="s">
        <v>3284</v>
      </c>
    </row>
    <row r="2251" spans="6:7" x14ac:dyDescent="0.2">
      <c r="F2251" s="123">
        <v>33176</v>
      </c>
      <c r="G2251" s="123" t="s">
        <v>3285</v>
      </c>
    </row>
    <row r="2252" spans="6:7" x14ac:dyDescent="0.2">
      <c r="F2252" s="123">
        <v>33240</v>
      </c>
      <c r="G2252" s="123" t="s">
        <v>3286</v>
      </c>
    </row>
    <row r="2253" spans="6:7" x14ac:dyDescent="0.2">
      <c r="F2253" s="123">
        <v>33662</v>
      </c>
      <c r="G2253" s="123" t="s">
        <v>3287</v>
      </c>
    </row>
    <row r="2254" spans="6:7" x14ac:dyDescent="0.2">
      <c r="F2254" s="123">
        <v>33936</v>
      </c>
      <c r="G2254" s="123" t="s">
        <v>3288</v>
      </c>
    </row>
    <row r="2255" spans="6:7" x14ac:dyDescent="0.2">
      <c r="F2255" s="123">
        <v>34108</v>
      </c>
      <c r="G2255" s="123" t="s">
        <v>3289</v>
      </c>
    </row>
    <row r="2256" spans="6:7" x14ac:dyDescent="0.2">
      <c r="F2256" s="123">
        <v>34190</v>
      </c>
      <c r="G2256" s="123" t="s">
        <v>3290</v>
      </c>
    </row>
    <row r="2257" spans="6:7" x14ac:dyDescent="0.2">
      <c r="F2257" s="123">
        <v>34360</v>
      </c>
      <c r="G2257" s="123" t="s">
        <v>3291</v>
      </c>
    </row>
    <row r="2258" spans="6:7" x14ac:dyDescent="0.2">
      <c r="F2258" s="123">
        <v>34394</v>
      </c>
      <c r="G2258" s="123" t="s">
        <v>3292</v>
      </c>
    </row>
    <row r="2259" spans="6:7" x14ac:dyDescent="0.2">
      <c r="F2259" s="123">
        <v>34441</v>
      </c>
      <c r="G2259" s="123" t="s">
        <v>3293</v>
      </c>
    </row>
    <row r="2260" spans="6:7" x14ac:dyDescent="0.2">
      <c r="F2260" s="123">
        <v>34455</v>
      </c>
      <c r="G2260" s="123" t="s">
        <v>3294</v>
      </c>
    </row>
    <row r="2261" spans="6:7" x14ac:dyDescent="0.2">
      <c r="F2261" s="123">
        <v>34672</v>
      </c>
      <c r="G2261" s="123" t="s">
        <v>3295</v>
      </c>
    </row>
    <row r="2262" spans="6:7" x14ac:dyDescent="0.2">
      <c r="F2262" s="123">
        <v>34679</v>
      </c>
      <c r="G2262" s="123" t="s">
        <v>3296</v>
      </c>
    </row>
    <row r="2263" spans="6:7" x14ac:dyDescent="0.2">
      <c r="F2263" s="123">
        <v>34751</v>
      </c>
      <c r="G2263" s="123" t="s">
        <v>3297</v>
      </c>
    </row>
    <row r="2264" spans="6:7" x14ac:dyDescent="0.2">
      <c r="F2264" s="123">
        <v>34819</v>
      </c>
      <c r="G2264" s="123" t="s">
        <v>3298</v>
      </c>
    </row>
    <row r="2265" spans="6:7" x14ac:dyDescent="0.2">
      <c r="F2265" s="123">
        <v>34851</v>
      </c>
      <c r="G2265" s="123" t="s">
        <v>3299</v>
      </c>
    </row>
    <row r="2266" spans="6:7" x14ac:dyDescent="0.2">
      <c r="F2266" s="123">
        <v>34861</v>
      </c>
      <c r="G2266" s="123" t="s">
        <v>3300</v>
      </c>
    </row>
    <row r="2267" spans="6:7" x14ac:dyDescent="0.2">
      <c r="F2267" s="123">
        <v>34869</v>
      </c>
      <c r="G2267" s="123" t="s">
        <v>3301</v>
      </c>
    </row>
    <row r="2268" spans="6:7" x14ac:dyDescent="0.2">
      <c r="F2268" s="123">
        <v>34874</v>
      </c>
      <c r="G2268" s="123" t="s">
        <v>3302</v>
      </c>
    </row>
    <row r="2269" spans="6:7" x14ac:dyDescent="0.2">
      <c r="F2269" s="123">
        <v>35222</v>
      </c>
      <c r="G2269" s="123" t="s">
        <v>3303</v>
      </c>
    </row>
    <row r="2270" spans="6:7" x14ac:dyDescent="0.2">
      <c r="F2270" s="123">
        <v>35474</v>
      </c>
      <c r="G2270" s="123" t="s">
        <v>3304</v>
      </c>
    </row>
    <row r="2271" spans="6:7" x14ac:dyDescent="0.2">
      <c r="F2271" s="123">
        <v>35489</v>
      </c>
      <c r="G2271" s="123" t="s">
        <v>3305</v>
      </c>
    </row>
    <row r="2272" spans="6:7" x14ac:dyDescent="0.2">
      <c r="F2272" s="123">
        <v>35731</v>
      </c>
      <c r="G2272" s="123" t="s">
        <v>3306</v>
      </c>
    </row>
    <row r="2273" spans="6:7" x14ac:dyDescent="0.2">
      <c r="F2273" s="123">
        <v>35793</v>
      </c>
      <c r="G2273" s="123" t="s">
        <v>3307</v>
      </c>
    </row>
    <row r="2274" spans="6:7" x14ac:dyDescent="0.2">
      <c r="F2274" s="123">
        <v>35907</v>
      </c>
      <c r="G2274" s="123" t="s">
        <v>3308</v>
      </c>
    </row>
    <row r="2275" spans="6:7" x14ac:dyDescent="0.2">
      <c r="F2275" s="123">
        <v>36086</v>
      </c>
      <c r="G2275" s="123" t="s">
        <v>3309</v>
      </c>
    </row>
    <row r="2276" spans="6:7" x14ac:dyDescent="0.2">
      <c r="F2276" s="123">
        <v>36120</v>
      </c>
      <c r="G2276" s="123" t="s">
        <v>3310</v>
      </c>
    </row>
    <row r="2277" spans="6:7" x14ac:dyDescent="0.2">
      <c r="F2277" s="123">
        <v>36162</v>
      </c>
      <c r="G2277" s="123" t="s">
        <v>3311</v>
      </c>
    </row>
    <row r="2278" spans="6:7" x14ac:dyDescent="0.2">
      <c r="F2278" s="123">
        <v>36235</v>
      </c>
      <c r="G2278" s="123" t="s">
        <v>3312</v>
      </c>
    </row>
    <row r="2279" spans="6:7" x14ac:dyDescent="0.2">
      <c r="F2279" s="123">
        <v>36247</v>
      </c>
      <c r="G2279" s="123" t="s">
        <v>3313</v>
      </c>
    </row>
    <row r="2280" spans="6:7" x14ac:dyDescent="0.2">
      <c r="F2280" s="123">
        <v>36252</v>
      </c>
      <c r="G2280" s="123" t="s">
        <v>3314</v>
      </c>
    </row>
    <row r="2281" spans="6:7" x14ac:dyDescent="0.2">
      <c r="F2281" s="123">
        <v>36267</v>
      </c>
      <c r="G2281" s="123" t="s">
        <v>3315</v>
      </c>
    </row>
    <row r="2282" spans="6:7" x14ac:dyDescent="0.2">
      <c r="F2282" s="123">
        <v>36283</v>
      </c>
      <c r="G2282" s="123" t="s">
        <v>3316</v>
      </c>
    </row>
    <row r="2283" spans="6:7" x14ac:dyDescent="0.2">
      <c r="F2283" s="123">
        <v>36302</v>
      </c>
      <c r="G2283" s="123" t="s">
        <v>3317</v>
      </c>
    </row>
    <row r="2284" spans="6:7" x14ac:dyDescent="0.2">
      <c r="F2284" s="123">
        <v>36452</v>
      </c>
      <c r="G2284" s="123" t="s">
        <v>3318</v>
      </c>
    </row>
    <row r="2285" spans="6:7" x14ac:dyDescent="0.2">
      <c r="F2285" s="123">
        <v>36671</v>
      </c>
      <c r="G2285" s="123" t="s">
        <v>3319</v>
      </c>
    </row>
    <row r="2286" spans="6:7" x14ac:dyDescent="0.2">
      <c r="F2286" s="123">
        <v>36847</v>
      </c>
      <c r="G2286" s="123" t="s">
        <v>3320</v>
      </c>
    </row>
    <row r="2287" spans="6:7" x14ac:dyDescent="0.2">
      <c r="F2287" s="123">
        <v>36974</v>
      </c>
      <c r="G2287" s="123" t="s">
        <v>3321</v>
      </c>
    </row>
    <row r="2288" spans="6:7" x14ac:dyDescent="0.2">
      <c r="F2288" s="123">
        <v>37011</v>
      </c>
      <c r="G2288" s="123" t="s">
        <v>3322</v>
      </c>
    </row>
    <row r="2289" spans="6:7" x14ac:dyDescent="0.2">
      <c r="F2289" s="123">
        <v>37076</v>
      </c>
      <c r="G2289" s="123" t="s">
        <v>3323</v>
      </c>
    </row>
    <row r="2290" spans="6:7" x14ac:dyDescent="0.2">
      <c r="F2290" s="123">
        <v>37081</v>
      </c>
      <c r="G2290" s="123" t="s">
        <v>3324</v>
      </c>
    </row>
    <row r="2291" spans="6:7" x14ac:dyDescent="0.2">
      <c r="F2291" s="123">
        <v>37275</v>
      </c>
      <c r="G2291" s="123" t="s">
        <v>3325</v>
      </c>
    </row>
    <row r="2292" spans="6:7" x14ac:dyDescent="0.2">
      <c r="F2292" s="123">
        <v>37305</v>
      </c>
      <c r="G2292" s="123" t="s">
        <v>3326</v>
      </c>
    </row>
    <row r="2293" spans="6:7" x14ac:dyDescent="0.2">
      <c r="F2293" s="123">
        <v>37366</v>
      </c>
      <c r="G2293" s="123" t="s">
        <v>3327</v>
      </c>
    </row>
    <row r="2294" spans="6:7" x14ac:dyDescent="0.2">
      <c r="F2294" s="123">
        <v>37429</v>
      </c>
      <c r="G2294" s="123" t="s">
        <v>3328</v>
      </c>
    </row>
    <row r="2295" spans="6:7" x14ac:dyDescent="0.2">
      <c r="F2295" s="123">
        <v>37448</v>
      </c>
      <c r="G2295" s="123" t="s">
        <v>3329</v>
      </c>
    </row>
  </sheetData>
  <sortState xmlns:xlrd2="http://schemas.microsoft.com/office/spreadsheetml/2017/richdata2" ref="F3:G2246">
    <sortCondition ref="F3:F2246"/>
  </sortState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45EAA0BFCE4F64896704EF6CA0607DD" ma:contentTypeVersion="12" ma:contentTypeDescription="Creare un nuovo documento." ma:contentTypeScope="" ma:versionID="f70a8430cb7bd9dabb4a77e2b031119e">
  <xsd:schema xmlns:xsd="http://www.w3.org/2001/XMLSchema" xmlns:xs="http://www.w3.org/2001/XMLSchema" xmlns:p="http://schemas.microsoft.com/office/2006/metadata/properties" xmlns:ns3="7de87d2a-5b43-42a7-b4c3-d1be0d62272b" xmlns:ns4="edc8021c-4014-4e4d-a91e-776457cd770e" targetNamespace="http://schemas.microsoft.com/office/2006/metadata/properties" ma:root="true" ma:fieldsID="880a7b0fcfce3f6b0c89bfcc0ba9d50a" ns3:_="" ns4:_="">
    <xsd:import namespace="7de87d2a-5b43-42a7-b4c3-d1be0d62272b"/>
    <xsd:import namespace="edc8021c-4014-4e4d-a91e-776457cd770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e87d2a-5b43-42a7-b4c3-d1be0d6227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c8021c-4014-4e4d-a91e-776457cd770e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9C77757-09FE-4770-BDE8-CC84D46A92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e87d2a-5b43-42a7-b4c3-d1be0d62272b"/>
    <ds:schemaRef ds:uri="edc8021c-4014-4e4d-a91e-776457cd77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CFDB1C6-1A65-45BF-9BF8-4F2482214D2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D1E87E7-F540-4157-B9AF-A2EEB04FD09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Menu</vt:lpstr>
      <vt:lpstr>QT-Acquedotto</vt:lpstr>
      <vt:lpstr>QT-Fognatura</vt:lpstr>
      <vt:lpstr>QT-Depurazione</vt:lpstr>
      <vt:lpstr>QT-Altri dati</vt:lpstr>
      <vt:lpstr>Riepilogo RQTI</vt:lpstr>
      <vt:lpstr>TT_Gestori-ATO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2020-02-26T09:44:15Z</dcterms:created>
  <dcterms:modified xsi:type="dcterms:W3CDTF">2022-07-20T06:46:03Z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0x010100745EAA0BFCE4F64896704EF6CA0607DD</vt:lpwstr>
  </property>
</Properties>
</file>